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quardt\Documents\Veröffentlichungen\Beuth-Bauwerk\Energie-Auflage5\Beispiele-230105\"/>
    </mc:Choice>
  </mc:AlternateContent>
  <bookViews>
    <workbookView xWindow="96" yWindow="132" windowWidth="12000" windowHeight="6720"/>
  </bookViews>
  <sheets>
    <sheet name="Aufgabe" sheetId="34" r:id="rId1"/>
    <sheet name="A" sheetId="2" r:id="rId2"/>
    <sheet name="HT+HV" sheetId="1" r:id="rId3"/>
    <sheet name="Qh-JAN" sheetId="3" r:id="rId4"/>
    <sheet name="Qh-FEB" sheetId="21" r:id="rId5"/>
    <sheet name="Qh-MAR" sheetId="22" r:id="rId6"/>
    <sheet name="Qh-APR" sheetId="23" r:id="rId7"/>
    <sheet name="Qh-MAI" sheetId="24" r:id="rId8"/>
    <sheet name="Qh-JUN" sheetId="25" r:id="rId9"/>
    <sheet name="Qh-JUL" sheetId="26" r:id="rId10"/>
    <sheet name="Qh-AUG" sheetId="27" r:id="rId11"/>
    <sheet name="Qh-SEP" sheetId="28" r:id="rId12"/>
    <sheet name="Qh-OKT" sheetId="29" r:id="rId13"/>
    <sheet name="Qh-NOV" sheetId="30" r:id="rId14"/>
    <sheet name="Qh-DEZ" sheetId="31" r:id="rId15"/>
    <sheet name="Qh-SUM" sheetId="20" r:id="rId16"/>
    <sheet name="AnlTechnik" sheetId="5" r:id="rId17"/>
    <sheet name="TabVerfTW" sheetId="4" r:id="rId18"/>
    <sheet name="TabVerfHeiz" sheetId="32" r:id="rId19"/>
    <sheet name="Anlagenbew" sheetId="33" r:id="rId20"/>
  </sheets>
  <definedNames>
    <definedName name="_xlnm.Print_Area" localSheetId="1">A!$A$1:$G$47</definedName>
    <definedName name="_xlnm.Print_Area" localSheetId="19">Anlagenbew!$A$1:$G$80</definedName>
    <definedName name="_xlnm.Print_Area" localSheetId="0">Aufgabe!$A$1:$G$94</definedName>
    <definedName name="_xlnm.Print_Area" localSheetId="6">'Qh-APR'!$A$1:$F$107</definedName>
    <definedName name="_xlnm.Print_Area" localSheetId="10">'Qh-AUG'!$A$1:$F$107</definedName>
    <definedName name="_xlnm.Print_Area" localSheetId="14">'Qh-DEZ'!$A$1:$F$107</definedName>
    <definedName name="_xlnm.Print_Area" localSheetId="4">'Qh-FEB'!$A$1:$F$107</definedName>
    <definedName name="_xlnm.Print_Area" localSheetId="3">'Qh-JAN'!$A$1:$F$107</definedName>
    <definedName name="_xlnm.Print_Area" localSheetId="9">'Qh-JUL'!$A$1:$F$107</definedName>
    <definedName name="_xlnm.Print_Area" localSheetId="8">'Qh-JUN'!$A$1:$F$107</definedName>
    <definedName name="_xlnm.Print_Area" localSheetId="7">'Qh-MAI'!$A$1:$F$107</definedName>
    <definedName name="_xlnm.Print_Area" localSheetId="5">'Qh-MAR'!$A$1:$F$107</definedName>
    <definedName name="_xlnm.Print_Area" localSheetId="13">'Qh-NOV'!$A$1:$F$107</definedName>
    <definedName name="_xlnm.Print_Area" localSheetId="12">'Qh-OKT'!$A$1:$F$107</definedName>
    <definedName name="_xlnm.Print_Area" localSheetId="11">'Qh-SEP'!$A$1:$F$107</definedName>
    <definedName name="_xlnm.Print_Area" localSheetId="18">TabVerfHeiz!$A$1:$G$86</definedName>
    <definedName name="_xlnm.Print_Area" localSheetId="17">TabVerfTW!$A$1:$G$94</definedName>
  </definedNames>
  <calcPr calcId="162913"/>
</workbook>
</file>

<file path=xl/calcChain.xml><?xml version="1.0" encoding="utf-8"?>
<calcChain xmlns="http://schemas.openxmlformats.org/spreadsheetml/2006/main">
  <c r="G72" i="33" l="1"/>
  <c r="G74" i="33" s="1"/>
  <c r="E49" i="1" l="1"/>
  <c r="E50" i="1" s="1"/>
  <c r="D49" i="1"/>
  <c r="E48" i="1"/>
  <c r="D48" i="1"/>
  <c r="E4" i="1"/>
  <c r="D4" i="1"/>
  <c r="E3" i="1"/>
  <c r="D3" i="1"/>
  <c r="D50" i="1" l="1"/>
  <c r="D5" i="1"/>
  <c r="E5" i="1"/>
  <c r="E26" i="1" l="1"/>
  <c r="E26" i="4"/>
  <c r="E13" i="4"/>
  <c r="E18" i="4"/>
  <c r="E20" i="4" s="1"/>
  <c r="D64" i="1"/>
  <c r="E64" i="1" s="1"/>
  <c r="D65" i="1"/>
  <c r="E65" i="1" s="1"/>
  <c r="E66" i="1"/>
  <c r="E67" i="1"/>
  <c r="C47" i="33"/>
  <c r="F61" i="32"/>
  <c r="F64" i="32"/>
  <c r="F66" i="32"/>
  <c r="E74" i="32"/>
  <c r="F74" i="32" s="1"/>
  <c r="E61" i="4"/>
  <c r="F63" i="4"/>
  <c r="E82" i="4"/>
  <c r="E84" i="4" s="1"/>
  <c r="F82" i="4"/>
  <c r="F84" i="4" s="1"/>
  <c r="E74" i="4"/>
  <c r="E34" i="4"/>
  <c r="E30" i="32"/>
  <c r="E10" i="32"/>
  <c r="E21" i="1"/>
  <c r="E22" i="1"/>
  <c r="F15" i="4"/>
  <c r="F18" i="4"/>
  <c r="F20" i="4" s="1"/>
  <c r="F17" i="32"/>
  <c r="F20" i="32" s="1"/>
  <c r="F22" i="32" s="1"/>
  <c r="C16" i="33"/>
  <c r="C7" i="33"/>
  <c r="E23" i="2"/>
  <c r="E24" i="2"/>
  <c r="E10" i="2"/>
  <c r="E11" i="2"/>
  <c r="E13" i="2"/>
  <c r="E14" i="2"/>
  <c r="E15" i="2"/>
  <c r="E4" i="2"/>
  <c r="F5" i="2" s="1"/>
  <c r="E5" i="2"/>
  <c r="E17" i="2"/>
  <c r="F19" i="2" s="1"/>
  <c r="E18" i="2"/>
  <c r="E6" i="2"/>
  <c r="D87" i="3"/>
  <c r="E87" i="3" s="1"/>
  <c r="E7" i="2"/>
  <c r="F7" i="2" s="1"/>
  <c r="E20" i="2"/>
  <c r="E8" i="2"/>
  <c r="F8" i="2"/>
  <c r="E26" i="2"/>
  <c r="F26" i="2"/>
  <c r="D16" i="1" s="1"/>
  <c r="E16" i="1" s="1"/>
  <c r="E27" i="2"/>
  <c r="F27" i="2" s="1"/>
  <c r="E28" i="2"/>
  <c r="E30" i="2"/>
  <c r="F30" i="2" s="1"/>
  <c r="D62" i="1" s="1"/>
  <c r="E62" i="1" s="1"/>
  <c r="E31" i="2"/>
  <c r="F31" i="2"/>
  <c r="E32" i="2"/>
  <c r="F32" i="2" s="1"/>
  <c r="E72" i="1"/>
  <c r="E33" i="2"/>
  <c r="F33" i="2" s="1"/>
  <c r="E34" i="2"/>
  <c r="F34" i="2" s="1"/>
  <c r="D68" i="1" s="1"/>
  <c r="E68" i="1" s="1"/>
  <c r="E35" i="2"/>
  <c r="F42" i="2"/>
  <c r="F45" i="2" s="1"/>
  <c r="F43" i="2"/>
  <c r="F44" i="2"/>
  <c r="E88" i="31"/>
  <c r="E88" i="30"/>
  <c r="E88" i="29"/>
  <c r="E88" i="28"/>
  <c r="E88" i="27"/>
  <c r="E88" i="26"/>
  <c r="E88" i="25"/>
  <c r="E88" i="24"/>
  <c r="E88" i="23"/>
  <c r="E88" i="22"/>
  <c r="E88" i="21"/>
  <c r="E35" i="31"/>
  <c r="E35" i="30"/>
  <c r="E35" i="29"/>
  <c r="E35" i="28"/>
  <c r="E35" i="27"/>
  <c r="E35" i="26"/>
  <c r="E35" i="25"/>
  <c r="E35" i="24"/>
  <c r="E35" i="23"/>
  <c r="E35" i="22"/>
  <c r="E35" i="21"/>
  <c r="E88" i="3"/>
  <c r="E35" i="3"/>
  <c r="D33" i="29"/>
  <c r="E33" i="29" s="1"/>
  <c r="E27" i="1"/>
  <c r="D61" i="1"/>
  <c r="E61" i="1" s="1"/>
  <c r="D34" i="31"/>
  <c r="E34" i="31" s="1"/>
  <c r="D86" i="28"/>
  <c r="E86" i="28" s="1"/>
  <c r="D87" i="28"/>
  <c r="E87" i="28" s="1"/>
  <c r="D87" i="27"/>
  <c r="E87" i="27"/>
  <c r="D34" i="27"/>
  <c r="E34" i="27" s="1"/>
  <c r="E19" i="2"/>
  <c r="D34" i="30"/>
  <c r="E34" i="30"/>
  <c r="E71" i="1"/>
  <c r="F30" i="32"/>
  <c r="F32" i="32"/>
  <c r="E34" i="32"/>
  <c r="E36" i="32" s="1"/>
  <c r="E32" i="32"/>
  <c r="D36" i="31"/>
  <c r="E36" i="31"/>
  <c r="F34" i="4"/>
  <c r="F36" i="4"/>
  <c r="E36" i="4"/>
  <c r="E38" i="4" s="1"/>
  <c r="E40" i="4" s="1"/>
  <c r="E28" i="1"/>
  <c r="E73" i="1"/>
  <c r="D17" i="1"/>
  <c r="E17" i="1" s="1"/>
  <c r="D23" i="1"/>
  <c r="E23" i="1" s="1"/>
  <c r="E36" i="2"/>
  <c r="F36" i="2" s="1"/>
  <c r="D69" i="1" s="1"/>
  <c r="E69" i="1" s="1"/>
  <c r="D33" i="31"/>
  <c r="E33" i="31" s="1"/>
  <c r="D86" i="22"/>
  <c r="E86" i="22" s="1"/>
  <c r="D33" i="26"/>
  <c r="E33" i="26" s="1"/>
  <c r="E66" i="4"/>
  <c r="F66" i="4"/>
  <c r="F68" i="4" s="1"/>
  <c r="D89" i="21"/>
  <c r="E89" i="21" s="1"/>
  <c r="D36" i="22"/>
  <c r="E36" i="22" s="1"/>
  <c r="D89" i="29"/>
  <c r="E89" i="29" s="1"/>
  <c r="D89" i="31"/>
  <c r="E89" i="31" s="1"/>
  <c r="D36" i="27"/>
  <c r="E36" i="27" s="1"/>
  <c r="F76" i="32"/>
  <c r="E76" i="32"/>
  <c r="E78" i="32" s="1"/>
  <c r="D87" i="21"/>
  <c r="E87" i="21" s="1"/>
  <c r="D87" i="24"/>
  <c r="E87" i="24" s="1"/>
  <c r="E41" i="1" l="1"/>
  <c r="F47" i="2"/>
  <c r="E86" i="1"/>
  <c r="E80" i="32"/>
  <c r="E68" i="4"/>
  <c r="E37" i="31"/>
  <c r="E29" i="2"/>
  <c r="D19" i="1"/>
  <c r="E19" i="1" s="1"/>
  <c r="E90" i="22"/>
  <c r="D89" i="22"/>
  <c r="E89" i="22" s="1"/>
  <c r="D36" i="21"/>
  <c r="E36" i="21" s="1"/>
  <c r="D36" i="29"/>
  <c r="E36" i="29" s="1"/>
  <c r="D89" i="23"/>
  <c r="E89" i="23" s="1"/>
  <c r="D89" i="27"/>
  <c r="E89" i="27" s="1"/>
  <c r="D36" i="3"/>
  <c r="E36" i="3" s="1"/>
  <c r="D36" i="23"/>
  <c r="E36" i="23" s="1"/>
  <c r="D89" i="24"/>
  <c r="E89" i="24" s="1"/>
  <c r="D89" i="30"/>
  <c r="E89" i="30" s="1"/>
  <c r="D36" i="30"/>
  <c r="E36" i="30" s="1"/>
  <c r="D36" i="25"/>
  <c r="E36" i="25" s="1"/>
  <c r="D36" i="24"/>
  <c r="E36" i="24" s="1"/>
  <c r="D89" i="26"/>
  <c r="E89" i="26" s="1"/>
  <c r="D36" i="26"/>
  <c r="E36" i="26" s="1"/>
  <c r="D89" i="3"/>
  <c r="E89" i="3" s="1"/>
  <c r="E21" i="2"/>
  <c r="F21" i="2" s="1"/>
  <c r="D89" i="25"/>
  <c r="E89" i="25" s="1"/>
  <c r="D89" i="28"/>
  <c r="E89" i="28" s="1"/>
  <c r="E90" i="28" s="1"/>
  <c r="D36" i="28"/>
  <c r="E36" i="28" s="1"/>
  <c r="F9" i="2"/>
  <c r="E54" i="32"/>
  <c r="C56" i="33"/>
  <c r="D33" i="22"/>
  <c r="E33" i="22" s="1"/>
  <c r="D86" i="3"/>
  <c r="E86" i="3" s="1"/>
  <c r="D33" i="21"/>
  <c r="E33" i="21" s="1"/>
  <c r="D86" i="29"/>
  <c r="E86" i="29" s="1"/>
  <c r="E90" i="29" s="1"/>
  <c r="D86" i="21"/>
  <c r="E86" i="21" s="1"/>
  <c r="E90" i="21" s="1"/>
  <c r="D86" i="26"/>
  <c r="E86" i="26" s="1"/>
  <c r="D33" i="28"/>
  <c r="E33" i="28" s="1"/>
  <c r="D86" i="27"/>
  <c r="E86" i="27" s="1"/>
  <c r="E90" i="27" s="1"/>
  <c r="D33" i="27"/>
  <c r="E33" i="27" s="1"/>
  <c r="E37" i="27" s="1"/>
  <c r="D86" i="25"/>
  <c r="E86" i="25" s="1"/>
  <c r="D86" i="30"/>
  <c r="E86" i="30" s="1"/>
  <c r="D33" i="24"/>
  <c r="E33" i="24" s="1"/>
  <c r="E16" i="2"/>
  <c r="F16" i="2" s="1"/>
  <c r="F22" i="2" s="1"/>
  <c r="D33" i="30"/>
  <c r="E33" i="30" s="1"/>
  <c r="D86" i="31"/>
  <c r="E86" i="31" s="1"/>
  <c r="E90" i="31" s="1"/>
  <c r="D86" i="23"/>
  <c r="E86" i="23" s="1"/>
  <c r="E90" i="23" s="1"/>
  <c r="D33" i="3"/>
  <c r="E33" i="3" s="1"/>
  <c r="E86" i="4"/>
  <c r="D24" i="1"/>
  <c r="E24" i="1" s="1"/>
  <c r="D33" i="25"/>
  <c r="E33" i="25" s="1"/>
  <c r="E37" i="25" s="1"/>
  <c r="D33" i="23"/>
  <c r="E33" i="23" s="1"/>
  <c r="D86" i="24"/>
  <c r="E86" i="24" s="1"/>
  <c r="E90" i="24" s="1"/>
  <c r="F29" i="2"/>
  <c r="D20" i="1" s="1"/>
  <c r="E20" i="1" s="1"/>
  <c r="D34" i="22"/>
  <c r="E34" i="22" s="1"/>
  <c r="D87" i="26"/>
  <c r="E87" i="26" s="1"/>
  <c r="D87" i="31"/>
  <c r="E87" i="31" s="1"/>
  <c r="D34" i="3"/>
  <c r="E34" i="3" s="1"/>
  <c r="D34" i="28"/>
  <c r="E34" i="28" s="1"/>
  <c r="D87" i="25"/>
  <c r="E87" i="25" s="1"/>
  <c r="D87" i="29"/>
  <c r="E87" i="29" s="1"/>
  <c r="D87" i="30"/>
  <c r="E87" i="30" s="1"/>
  <c r="D34" i="26"/>
  <c r="E34" i="26" s="1"/>
  <c r="E37" i="26" s="1"/>
  <c r="D34" i="29"/>
  <c r="E34" i="29" s="1"/>
  <c r="D34" i="23"/>
  <c r="E34" i="23" s="1"/>
  <c r="D87" i="23"/>
  <c r="E87" i="23" s="1"/>
  <c r="D34" i="24"/>
  <c r="E34" i="24" s="1"/>
  <c r="D34" i="25"/>
  <c r="E34" i="25" s="1"/>
  <c r="D87" i="22"/>
  <c r="E87" i="22" s="1"/>
  <c r="D34" i="21"/>
  <c r="E34" i="21" s="1"/>
  <c r="F11" i="2"/>
  <c r="D14" i="1" l="1"/>
  <c r="E14" i="1" s="1"/>
  <c r="D59" i="1"/>
  <c r="E59" i="1" s="1"/>
  <c r="E37" i="24"/>
  <c r="E90" i="30"/>
  <c r="E37" i="21"/>
  <c r="E37" i="29"/>
  <c r="E37" i="23"/>
  <c r="E37" i="3"/>
  <c r="E37" i="22"/>
  <c r="D57" i="1"/>
  <c r="D12" i="1"/>
  <c r="F37" i="2"/>
  <c r="E25" i="2"/>
  <c r="F25" i="2" s="1"/>
  <c r="D58" i="1"/>
  <c r="E58" i="1" s="1"/>
  <c r="D13" i="1"/>
  <c r="E13" i="1" s="1"/>
  <c r="C45" i="33"/>
  <c r="E64" i="33" s="1"/>
  <c r="E94" i="29"/>
  <c r="E9" i="28"/>
  <c r="C95" i="24"/>
  <c r="E41" i="30"/>
  <c r="C42" i="30"/>
  <c r="E62" i="21"/>
  <c r="C95" i="29"/>
  <c r="C95" i="26"/>
  <c r="C42" i="24"/>
  <c r="E62" i="31"/>
  <c r="E94" i="21"/>
  <c r="E41" i="3"/>
  <c r="E3" i="32"/>
  <c r="E41" i="32" s="1"/>
  <c r="E41" i="24"/>
  <c r="E9" i="22"/>
  <c r="E94" i="30"/>
  <c r="E9" i="29"/>
  <c r="E62" i="25"/>
  <c r="E62" i="3"/>
  <c r="E9" i="31"/>
  <c r="C42" i="3"/>
  <c r="C42" i="21"/>
  <c r="C42" i="25"/>
  <c r="E9" i="25"/>
  <c r="C95" i="30"/>
  <c r="E62" i="30"/>
  <c r="E41" i="25"/>
  <c r="E62" i="22"/>
  <c r="C42" i="28"/>
  <c r="E94" i="31"/>
  <c r="C95" i="3"/>
  <c r="C95" i="22"/>
  <c r="E41" i="27"/>
  <c r="E94" i="3"/>
  <c r="E62" i="26"/>
  <c r="E41" i="22"/>
  <c r="E41" i="29"/>
  <c r="C42" i="26"/>
  <c r="E9" i="24"/>
  <c r="E62" i="24"/>
  <c r="E41" i="26"/>
  <c r="E41" i="23"/>
  <c r="C95" i="23"/>
  <c r="E94" i="22"/>
  <c r="E9" i="23"/>
  <c r="C95" i="31"/>
  <c r="E9" i="30"/>
  <c r="C42" i="31"/>
  <c r="C95" i="21"/>
  <c r="E94" i="26"/>
  <c r="E62" i="27"/>
  <c r="E94" i="24"/>
  <c r="E41" i="31"/>
  <c r="E51" i="4"/>
  <c r="C42" i="22"/>
  <c r="E94" i="25"/>
  <c r="E41" i="21"/>
  <c r="E9" i="27"/>
  <c r="C95" i="28"/>
  <c r="E47" i="32"/>
  <c r="E85" i="32" s="1"/>
  <c r="E9" i="21"/>
  <c r="E9" i="26"/>
  <c r="C42" i="27"/>
  <c r="E94" i="28"/>
  <c r="E3" i="4"/>
  <c r="E94" i="27"/>
  <c r="E41" i="28"/>
  <c r="E9" i="3"/>
  <c r="E94" i="23"/>
  <c r="C42" i="23"/>
  <c r="E62" i="28"/>
  <c r="E62" i="23"/>
  <c r="E62" i="29"/>
  <c r="C95" i="25"/>
  <c r="C42" i="29"/>
  <c r="C5" i="33"/>
  <c r="C95" i="27"/>
  <c r="E37" i="28"/>
  <c r="E94" i="4"/>
  <c r="E88" i="4"/>
  <c r="G64" i="33" s="1"/>
  <c r="E93" i="4"/>
  <c r="E37" i="30"/>
  <c r="E90" i="25"/>
  <c r="E90" i="26"/>
  <c r="E90" i="3"/>
  <c r="E12" i="1" l="1"/>
  <c r="E53" i="4"/>
  <c r="C46" i="33" s="1"/>
  <c r="E92" i="4"/>
  <c r="E57" i="1"/>
  <c r="G24" i="33"/>
  <c r="E24" i="33"/>
  <c r="E44" i="4"/>
  <c r="E5" i="4"/>
  <c r="C6" i="33" s="1"/>
  <c r="E45" i="4"/>
  <c r="E46" i="4"/>
  <c r="D60" i="1"/>
  <c r="E60" i="1" s="1"/>
  <c r="D15" i="1"/>
  <c r="E15" i="1" s="1"/>
  <c r="D76" i="1" l="1"/>
  <c r="E63" i="30"/>
  <c r="E66" i="30" s="1"/>
  <c r="E63" i="23"/>
  <c r="E66" i="23" s="1"/>
  <c r="E63" i="29"/>
  <c r="E66" i="29" s="1"/>
  <c r="E63" i="3"/>
  <c r="E66" i="3" s="1"/>
  <c r="E63" i="24"/>
  <c r="E66" i="24" s="1"/>
  <c r="E63" i="31"/>
  <c r="E66" i="31" s="1"/>
  <c r="E63" i="22"/>
  <c r="E66" i="22" s="1"/>
  <c r="E63" i="28"/>
  <c r="E66" i="28" s="1"/>
  <c r="E63" i="27"/>
  <c r="E66" i="27" s="1"/>
  <c r="E63" i="21"/>
  <c r="E66" i="21" s="1"/>
  <c r="E63" i="25"/>
  <c r="E66" i="25" s="1"/>
  <c r="E63" i="26"/>
  <c r="E66" i="26" s="1"/>
  <c r="D31" i="1"/>
  <c r="E76" i="1"/>
  <c r="E78" i="1" s="1"/>
  <c r="E80" i="1" s="1"/>
  <c r="E10" i="31"/>
  <c r="E13" i="31" s="1"/>
  <c r="E10" i="22"/>
  <c r="E13" i="22" s="1"/>
  <c r="E10" i="29"/>
  <c r="E13" i="29" s="1"/>
  <c r="E10" i="24"/>
  <c r="E13" i="24" s="1"/>
  <c r="E10" i="25"/>
  <c r="E13" i="25" s="1"/>
  <c r="E10" i="28"/>
  <c r="E13" i="28" s="1"/>
  <c r="E10" i="21"/>
  <c r="E13" i="21" s="1"/>
  <c r="E10" i="23"/>
  <c r="E13" i="23" s="1"/>
  <c r="E10" i="26"/>
  <c r="E13" i="26" s="1"/>
  <c r="E10" i="27"/>
  <c r="E13" i="27" s="1"/>
  <c r="E10" i="30"/>
  <c r="E13" i="30" s="1"/>
  <c r="E10" i="3"/>
  <c r="E13" i="3" s="1"/>
  <c r="E81" i="1" l="1"/>
  <c r="E69" i="26"/>
  <c r="E70" i="26" s="1"/>
  <c r="E69" i="30"/>
  <c r="E70" i="30" s="1"/>
  <c r="E69" i="23"/>
  <c r="E70" i="23" s="1"/>
  <c r="E69" i="22"/>
  <c r="E70" i="22" s="1"/>
  <c r="E69" i="27"/>
  <c r="E70" i="27" s="1"/>
  <c r="E69" i="29"/>
  <c r="E70" i="29" s="1"/>
  <c r="E69" i="21"/>
  <c r="E70" i="21" s="1"/>
  <c r="E69" i="24"/>
  <c r="E70" i="24" s="1"/>
  <c r="E69" i="3"/>
  <c r="E70" i="3" s="1"/>
  <c r="E69" i="31"/>
  <c r="E70" i="31" s="1"/>
  <c r="E69" i="28"/>
  <c r="E70" i="28" s="1"/>
  <c r="E69" i="25"/>
  <c r="E70" i="25" s="1"/>
  <c r="E100" i="29"/>
  <c r="E102" i="29" s="1"/>
  <c r="E100" i="26"/>
  <c r="E102" i="26" s="1"/>
  <c r="E100" i="27"/>
  <c r="E102" i="27" s="1"/>
  <c r="E100" i="30"/>
  <c r="E102" i="30" s="1"/>
  <c r="E100" i="31"/>
  <c r="E102" i="31" s="1"/>
  <c r="E100" i="23"/>
  <c r="E102" i="23" s="1"/>
  <c r="E100" i="21"/>
  <c r="E102" i="21" s="1"/>
  <c r="E100" i="3"/>
  <c r="E102" i="3" s="1"/>
  <c r="E100" i="22"/>
  <c r="E102" i="22" s="1"/>
  <c r="E100" i="25"/>
  <c r="E102" i="25" s="1"/>
  <c r="E100" i="28"/>
  <c r="E102" i="28" s="1"/>
  <c r="E100" i="24"/>
  <c r="E102" i="24" s="1"/>
  <c r="E64" i="28"/>
  <c r="E65" i="28" s="1"/>
  <c r="E64" i="3"/>
  <c r="E65" i="3" s="1"/>
  <c r="E64" i="24"/>
  <c r="E65" i="24" s="1"/>
  <c r="E64" i="27"/>
  <c r="E65" i="27" s="1"/>
  <c r="E64" i="29"/>
  <c r="E65" i="29" s="1"/>
  <c r="E64" i="26"/>
  <c r="E65" i="26" s="1"/>
  <c r="E64" i="30"/>
  <c r="E65" i="30" s="1"/>
  <c r="E64" i="23"/>
  <c r="E65" i="23" s="1"/>
  <c r="E64" i="21"/>
  <c r="E65" i="21" s="1"/>
  <c r="E64" i="25"/>
  <c r="E65" i="25" s="1"/>
  <c r="E64" i="31"/>
  <c r="E65" i="31" s="1"/>
  <c r="E64" i="22"/>
  <c r="E65" i="22" s="1"/>
  <c r="E31" i="1"/>
  <c r="E33" i="1" s="1"/>
  <c r="E35" i="1" s="1"/>
  <c r="E67" i="31" l="1"/>
  <c r="E68" i="31"/>
  <c r="E71" i="31"/>
  <c r="E67" i="24"/>
  <c r="E68" i="24"/>
  <c r="E71" i="24"/>
  <c r="E67" i="25"/>
  <c r="E68" i="25"/>
  <c r="E71" i="25"/>
  <c r="E67" i="3"/>
  <c r="E71" i="3"/>
  <c r="E68" i="3"/>
  <c r="E16" i="21"/>
  <c r="E17" i="21" s="1"/>
  <c r="E16" i="25"/>
  <c r="E17" i="25" s="1"/>
  <c r="E16" i="24"/>
  <c r="E17" i="24" s="1"/>
  <c r="E16" i="31"/>
  <c r="E17" i="31" s="1"/>
  <c r="E16" i="22"/>
  <c r="E17" i="22" s="1"/>
  <c r="E16" i="23"/>
  <c r="E17" i="23" s="1"/>
  <c r="E16" i="29"/>
  <c r="E17" i="29" s="1"/>
  <c r="E16" i="3"/>
  <c r="E17" i="3" s="1"/>
  <c r="E16" i="30"/>
  <c r="E17" i="30" s="1"/>
  <c r="E16" i="28"/>
  <c r="E17" i="28" s="1"/>
  <c r="E16" i="26"/>
  <c r="E17" i="26" s="1"/>
  <c r="E16" i="27"/>
  <c r="E17" i="27" s="1"/>
  <c r="E47" i="31"/>
  <c r="E49" i="31" s="1"/>
  <c r="E47" i="22"/>
  <c r="E49" i="22" s="1"/>
  <c r="E47" i="21"/>
  <c r="E49" i="21" s="1"/>
  <c r="E47" i="23"/>
  <c r="E49" i="23" s="1"/>
  <c r="E47" i="3"/>
  <c r="E49" i="3" s="1"/>
  <c r="E47" i="24"/>
  <c r="E49" i="24" s="1"/>
  <c r="E47" i="30"/>
  <c r="E49" i="30" s="1"/>
  <c r="E47" i="26"/>
  <c r="E49" i="26" s="1"/>
  <c r="E47" i="28"/>
  <c r="E49" i="28" s="1"/>
  <c r="E47" i="29"/>
  <c r="E49" i="29" s="1"/>
  <c r="E47" i="27"/>
  <c r="E49" i="27" s="1"/>
  <c r="E47" i="25"/>
  <c r="E49" i="25" s="1"/>
  <c r="E11" i="30"/>
  <c r="E12" i="30" s="1"/>
  <c r="E11" i="28"/>
  <c r="E12" i="28" s="1"/>
  <c r="E11" i="21"/>
  <c r="E12" i="21" s="1"/>
  <c r="E11" i="23"/>
  <c r="E12" i="23" s="1"/>
  <c r="E11" i="29"/>
  <c r="E12" i="29" s="1"/>
  <c r="E11" i="26"/>
  <c r="E12" i="26" s="1"/>
  <c r="E11" i="27"/>
  <c r="E12" i="27" s="1"/>
  <c r="E11" i="22"/>
  <c r="E12" i="22" s="1"/>
  <c r="E11" i="3"/>
  <c r="E12" i="3" s="1"/>
  <c r="E11" i="25"/>
  <c r="E12" i="25" s="1"/>
  <c r="E11" i="24"/>
  <c r="E12" i="24" s="1"/>
  <c r="E11" i="31"/>
  <c r="E12" i="31" s="1"/>
  <c r="E71" i="21"/>
  <c r="E68" i="21"/>
  <c r="E67" i="21"/>
  <c r="E68" i="29"/>
  <c r="E67" i="29"/>
  <c r="E71" i="29"/>
  <c r="E67" i="28"/>
  <c r="E68" i="28"/>
  <c r="E71" i="28"/>
  <c r="E68" i="30"/>
  <c r="E67" i="30"/>
  <c r="E71" i="30"/>
  <c r="E68" i="26"/>
  <c r="E71" i="26"/>
  <c r="E67" i="26"/>
  <c r="E71" i="22"/>
  <c r="E68" i="22"/>
  <c r="E67" i="22"/>
  <c r="E68" i="23"/>
  <c r="E67" i="23"/>
  <c r="E71" i="23"/>
  <c r="E71" i="27"/>
  <c r="E67" i="27"/>
  <c r="E68" i="27"/>
  <c r="E72" i="31" l="1"/>
  <c r="E73" i="31" s="1"/>
  <c r="E72" i="23"/>
  <c r="E73" i="23" s="1"/>
  <c r="E74" i="23" s="1"/>
  <c r="E72" i="24"/>
  <c r="E73" i="24" s="1"/>
  <c r="E74" i="24" s="1"/>
  <c r="E18" i="27"/>
  <c r="E15" i="27"/>
  <c r="E14" i="27"/>
  <c r="E72" i="30"/>
  <c r="E73" i="30" s="1"/>
  <c r="E74" i="30" s="1"/>
  <c r="E18" i="25"/>
  <c r="E14" i="25"/>
  <c r="E15" i="25"/>
  <c r="E18" i="28"/>
  <c r="E14" i="28"/>
  <c r="E15" i="28"/>
  <c r="E72" i="22"/>
  <c r="E73" i="22" s="1"/>
  <c r="E74" i="22" s="1"/>
  <c r="E18" i="3"/>
  <c r="E14" i="3"/>
  <c r="E15" i="3"/>
  <c r="E18" i="30"/>
  <c r="E14" i="30"/>
  <c r="E15" i="30"/>
  <c r="E74" i="31"/>
  <c r="E18" i="24"/>
  <c r="E14" i="24"/>
  <c r="E15" i="24"/>
  <c r="E15" i="21"/>
  <c r="E14" i="21"/>
  <c r="E18" i="21"/>
  <c r="E72" i="21"/>
  <c r="E73" i="21" s="1"/>
  <c r="E74" i="21" s="1"/>
  <c r="E14" i="26"/>
  <c r="E18" i="26"/>
  <c r="E15" i="26"/>
  <c r="E72" i="26"/>
  <c r="E73" i="26" s="1"/>
  <c r="E74" i="26" s="1"/>
  <c r="E18" i="29"/>
  <c r="E15" i="29"/>
  <c r="E14" i="29"/>
  <c r="E72" i="27"/>
  <c r="E73" i="27" s="1"/>
  <c r="E74" i="27" s="1"/>
  <c r="E72" i="28"/>
  <c r="E73" i="28" s="1"/>
  <c r="E74" i="28" s="1"/>
  <c r="E72" i="29"/>
  <c r="E73" i="29" s="1"/>
  <c r="E74" i="29" s="1"/>
  <c r="E18" i="31"/>
  <c r="E15" i="31"/>
  <c r="E14" i="31"/>
  <c r="E18" i="22"/>
  <c r="E14" i="22"/>
  <c r="E15" i="22"/>
  <c r="E14" i="23"/>
  <c r="E18" i="23"/>
  <c r="E15" i="23"/>
  <c r="E72" i="3"/>
  <c r="E73" i="3" s="1"/>
  <c r="E74" i="3" s="1"/>
  <c r="E72" i="25"/>
  <c r="E73" i="25" s="1"/>
  <c r="E74" i="25" s="1"/>
  <c r="E19" i="23" l="1"/>
  <c r="E20" i="23" s="1"/>
  <c r="E19" i="21"/>
  <c r="E20" i="21" s="1"/>
  <c r="E21" i="21" s="1"/>
  <c r="E19" i="26"/>
  <c r="E20" i="26" s="1"/>
  <c r="E21" i="26" s="1"/>
  <c r="E19" i="24"/>
  <c r="E20" i="24" s="1"/>
  <c r="E21" i="24" s="1"/>
  <c r="E19" i="3"/>
  <c r="E20" i="3" s="1"/>
  <c r="E21" i="3" s="1"/>
  <c r="E19" i="27"/>
  <c r="E20" i="27" s="1"/>
  <c r="E21" i="27" s="1"/>
  <c r="E75" i="27"/>
  <c r="E76" i="27" s="1"/>
  <c r="E80" i="27" s="1"/>
  <c r="E75" i="26"/>
  <c r="E76" i="26" s="1"/>
  <c r="E80" i="26" s="1"/>
  <c r="E75" i="21"/>
  <c r="E76" i="21" s="1"/>
  <c r="E80" i="21" s="1"/>
  <c r="E75" i="25"/>
  <c r="E76" i="25" s="1"/>
  <c r="E80" i="25" s="1"/>
  <c r="E75" i="28"/>
  <c r="E76" i="28" s="1"/>
  <c r="E80" i="28" s="1"/>
  <c r="E75" i="3"/>
  <c r="E76" i="3" s="1"/>
  <c r="E80" i="3" s="1"/>
  <c r="E75" i="30"/>
  <c r="E76" i="30" s="1"/>
  <c r="E80" i="30" s="1"/>
  <c r="E75" i="29"/>
  <c r="E76" i="29" s="1"/>
  <c r="E80" i="29" s="1"/>
  <c r="E75" i="24"/>
  <c r="E76" i="24" s="1"/>
  <c r="E80" i="24" s="1"/>
  <c r="E75" i="22"/>
  <c r="E76" i="22" s="1"/>
  <c r="E80" i="22" s="1"/>
  <c r="E19" i="29"/>
  <c r="E20" i="29" s="1"/>
  <c r="E21" i="29" s="1"/>
  <c r="E19" i="30"/>
  <c r="E20" i="30" s="1"/>
  <c r="E21" i="30" s="1"/>
  <c r="E19" i="25"/>
  <c r="E20" i="25" s="1"/>
  <c r="E21" i="25" s="1"/>
  <c r="E75" i="31"/>
  <c r="E76" i="31" s="1"/>
  <c r="E80" i="31" s="1"/>
  <c r="E21" i="23"/>
  <c r="E19" i="22"/>
  <c r="E20" i="22" s="1"/>
  <c r="E21" i="22" s="1"/>
  <c r="E19" i="31"/>
  <c r="E20" i="31" s="1"/>
  <c r="E21" i="31" s="1"/>
  <c r="E75" i="23"/>
  <c r="E76" i="23" s="1"/>
  <c r="E80" i="23" s="1"/>
  <c r="E19" i="28"/>
  <c r="E20" i="28" s="1"/>
  <c r="E21" i="28" s="1"/>
  <c r="E101" i="22" l="1"/>
  <c r="E103" i="22" s="1"/>
  <c r="E107" i="22" s="1"/>
  <c r="E7" i="20" s="1"/>
  <c r="E22" i="28"/>
  <c r="E23" i="28" s="1"/>
  <c r="E27" i="28" s="1"/>
  <c r="E101" i="31"/>
  <c r="E103" i="31" s="1"/>
  <c r="E107" i="31" s="1"/>
  <c r="E16" i="20" s="1"/>
  <c r="E22" i="31"/>
  <c r="E23" i="31" s="1"/>
  <c r="E27" i="31" s="1"/>
  <c r="E22" i="29"/>
  <c r="E23" i="29" s="1"/>
  <c r="E27" i="29" s="1"/>
  <c r="E101" i="23"/>
  <c r="E103" i="23" s="1"/>
  <c r="E107" i="23" s="1"/>
  <c r="E8" i="20" s="1"/>
  <c r="E22" i="23"/>
  <c r="E23" i="23" s="1"/>
  <c r="E27" i="23" s="1"/>
  <c r="E22" i="3"/>
  <c r="E23" i="3" s="1"/>
  <c r="E27" i="3" s="1"/>
  <c r="E101" i="24"/>
  <c r="E103" i="24" s="1"/>
  <c r="E107" i="24" s="1"/>
  <c r="E9" i="20" s="1"/>
  <c r="E101" i="30"/>
  <c r="E103" i="30" s="1"/>
  <c r="E107" i="30" s="1"/>
  <c r="E15" i="20" s="1"/>
  <c r="E101" i="3"/>
  <c r="E103" i="3" s="1"/>
  <c r="E107" i="3" s="1"/>
  <c r="E5" i="20" s="1"/>
  <c r="E101" i="25"/>
  <c r="E103" i="25" s="1"/>
  <c r="E107" i="25" s="1"/>
  <c r="E10" i="20" s="1"/>
  <c r="E101" i="26"/>
  <c r="E103" i="26" s="1"/>
  <c r="E107" i="26" s="1"/>
  <c r="E11" i="20" s="1"/>
  <c r="E22" i="30"/>
  <c r="E23" i="30" s="1"/>
  <c r="E27" i="30" s="1"/>
  <c r="E22" i="27"/>
  <c r="E23" i="27" s="1"/>
  <c r="E27" i="27" s="1"/>
  <c r="E22" i="21"/>
  <c r="E23" i="21" s="1"/>
  <c r="E27" i="21" s="1"/>
  <c r="E22" i="24"/>
  <c r="E23" i="24" s="1"/>
  <c r="E27" i="24" s="1"/>
  <c r="E101" i="29"/>
  <c r="E103" i="29" s="1"/>
  <c r="E107" i="29" s="1"/>
  <c r="E14" i="20" s="1"/>
  <c r="E22" i="22"/>
  <c r="E23" i="22" s="1"/>
  <c r="E27" i="22" s="1"/>
  <c r="E101" i="28"/>
  <c r="E103" i="28" s="1"/>
  <c r="E107" i="28" s="1"/>
  <c r="E13" i="20" s="1"/>
  <c r="E101" i="21"/>
  <c r="E103" i="21" s="1"/>
  <c r="E107" i="21" s="1"/>
  <c r="E6" i="20" s="1"/>
  <c r="E101" i="27"/>
  <c r="E103" i="27" s="1"/>
  <c r="E107" i="27" s="1"/>
  <c r="E12" i="20" s="1"/>
  <c r="E22" i="25"/>
  <c r="E23" i="25" s="1"/>
  <c r="E27" i="25" s="1"/>
  <c r="E22" i="26"/>
  <c r="E23" i="26" s="1"/>
  <c r="E27" i="26" s="1"/>
  <c r="E48" i="26" l="1"/>
  <c r="E50" i="26" s="1"/>
  <c r="E54" i="26" s="1"/>
  <c r="B11" i="20" s="1"/>
  <c r="E48" i="30"/>
  <c r="E50" i="30" s="1"/>
  <c r="E54" i="30" s="1"/>
  <c r="B15" i="20" s="1"/>
  <c r="E48" i="3"/>
  <c r="E50" i="3" s="1"/>
  <c r="E54" i="3" s="1"/>
  <c r="B5" i="20" s="1"/>
  <c r="E48" i="31"/>
  <c r="E50" i="31" s="1"/>
  <c r="E54" i="31" s="1"/>
  <c r="B16" i="20" s="1"/>
  <c r="E17" i="20"/>
  <c r="E48" i="32" s="1"/>
  <c r="E48" i="28"/>
  <c r="E50" i="28" s="1"/>
  <c r="E54" i="28" s="1"/>
  <c r="B13" i="20" s="1"/>
  <c r="E48" i="21"/>
  <c r="E50" i="21" s="1"/>
  <c r="E54" i="21" s="1"/>
  <c r="B6" i="20" s="1"/>
  <c r="E48" i="27"/>
  <c r="E50" i="27" s="1"/>
  <c r="E54" i="27" s="1"/>
  <c r="B12" i="20" s="1"/>
  <c r="E48" i="22"/>
  <c r="E50" i="22" s="1"/>
  <c r="E54" i="22" s="1"/>
  <c r="B7" i="20" s="1"/>
  <c r="E48" i="25"/>
  <c r="E50" i="25" s="1"/>
  <c r="E54" i="25" s="1"/>
  <c r="B10" i="20" s="1"/>
  <c r="E48" i="24"/>
  <c r="E50" i="24" s="1"/>
  <c r="E54" i="24" s="1"/>
  <c r="B9" i="20" s="1"/>
  <c r="E48" i="23"/>
  <c r="E50" i="23" s="1"/>
  <c r="E54" i="23" s="1"/>
  <c r="B8" i="20" s="1"/>
  <c r="E48" i="29"/>
  <c r="E50" i="29" s="1"/>
  <c r="E54" i="29" s="1"/>
  <c r="B14" i="20" s="1"/>
  <c r="B17" i="20" l="1"/>
  <c r="E4" i="32" s="1"/>
  <c r="E46" i="33"/>
  <c r="E49" i="32"/>
  <c r="E53" i="32" l="1"/>
  <c r="E59" i="32" s="1"/>
  <c r="E64" i="32" s="1"/>
  <c r="E47" i="33"/>
  <c r="E56" i="33" s="1"/>
  <c r="E5" i="32"/>
  <c r="E6" i="33"/>
  <c r="E84" i="32" l="1"/>
  <c r="E66" i="32"/>
  <c r="E60" i="33"/>
  <c r="E66" i="33" s="1"/>
  <c r="E7" i="33"/>
  <c r="E16" i="33" s="1"/>
  <c r="E9" i="32"/>
  <c r="E15" i="32" s="1"/>
  <c r="E20" i="32" s="1"/>
  <c r="E86" i="32" l="1"/>
  <c r="G60" i="33"/>
  <c r="G68" i="33" s="1"/>
  <c r="E40" i="32"/>
  <c r="E22" i="32"/>
  <c r="E20" i="33"/>
  <c r="G70" i="33" l="1"/>
  <c r="E26" i="33"/>
  <c r="E28" i="33" s="1"/>
  <c r="E30" i="33"/>
  <c r="E32" i="33" s="1"/>
  <c r="E42" i="32"/>
  <c r="G20" i="33"/>
  <c r="G34" i="33" s="1"/>
  <c r="G76" i="33"/>
  <c r="G36" i="33" l="1"/>
  <c r="G38" i="33"/>
</calcChain>
</file>

<file path=xl/sharedStrings.xml><?xml version="1.0" encoding="utf-8"?>
<sst xmlns="http://schemas.openxmlformats.org/spreadsheetml/2006/main" count="2938" uniqueCount="512">
  <si>
    <t>Spezifischer Transmissionswärmeverlust</t>
  </si>
  <si>
    <t>D</t>
  </si>
  <si>
    <t>DL</t>
  </si>
  <si>
    <t>u2</t>
  </si>
  <si>
    <t>A</t>
  </si>
  <si>
    <t>Wärmebr.:</t>
  </si>
  <si>
    <t>Wärmeübertragende Umfassungsfläche</t>
  </si>
  <si>
    <t>n</t>
  </si>
  <si>
    <t>h, l [m]</t>
  </si>
  <si>
    <t>b [m]</t>
  </si>
  <si>
    <t>G1 (AW)</t>
  </si>
  <si>
    <t>u1 (T)</t>
  </si>
  <si>
    <t>A =</t>
  </si>
  <si>
    <t>Beheiztes Gebäudevolumen</t>
  </si>
  <si>
    <t>EG</t>
  </si>
  <si>
    <t>OG</t>
  </si>
  <si>
    <t>KG</t>
  </si>
  <si>
    <t>Gebäudenutzfläche [m²]</t>
  </si>
  <si>
    <t>G2 (DE)</t>
  </si>
  <si>
    <t>G3 (SO)</t>
  </si>
  <si>
    <t>Solare Wärmegewinne der transparenten Bauteile</t>
  </si>
  <si>
    <t>Interne Wärmegewinne</t>
  </si>
  <si>
    <t>Spezifischer Lüftungswärmeverlust</t>
  </si>
  <si>
    <t>Gewählte Anlagentechnik</t>
  </si>
  <si>
    <t>Trinkwassererwärmung:</t>
  </si>
  <si>
    <t>Übergabe:</t>
  </si>
  <si>
    <t>Verteilung:</t>
  </si>
  <si>
    <t>-</t>
  </si>
  <si>
    <t>mit Zirkulation</t>
  </si>
  <si>
    <t>Speicherung:</t>
  </si>
  <si>
    <t>Erzeugung:</t>
  </si>
  <si>
    <t>Heizung:</t>
  </si>
  <si>
    <t>Lüftung:</t>
  </si>
  <si>
    <t>Radiatoren m. Thermostatventilen (1 K Proportionalber.)</t>
  </si>
  <si>
    <t>Vor-/Rücklauf 55°/45° C</t>
  </si>
  <si>
    <t>[kWh/a] =</t>
  </si>
  <si>
    <t>m²)</t>
  </si>
  <si>
    <t>[kWh/(m² a)]</t>
  </si>
  <si>
    <t>abs. Bedarf</t>
  </si>
  <si>
    <t>bez. Bedarf</t>
  </si>
  <si>
    <t>[kWh/a]</t>
  </si>
  <si>
    <t>[m²] bzw. [d]</t>
  </si>
  <si>
    <t>II. Systembeschreibung</t>
  </si>
  <si>
    <t>III. Ergebnisse</t>
  </si>
  <si>
    <t>(entfällt)</t>
  </si>
  <si>
    <t>[W/(m² K)] =</t>
  </si>
  <si>
    <t>[W/K] =</t>
  </si>
  <si>
    <t>na2</t>
  </si>
  <si>
    <t>na1 (T)</t>
  </si>
  <si>
    <t>I. Eingaben</t>
  </si>
  <si>
    <t>[m²]</t>
  </si>
  <si>
    <t>[m]</t>
  </si>
  <si>
    <t>[m²K/W]</t>
  </si>
  <si>
    <t>nb2</t>
  </si>
  <si>
    <r>
      <t>F</t>
    </r>
    <r>
      <rPr>
        <b/>
        <vertAlign val="subscript"/>
        <sz val="14"/>
        <rFont val="Arial"/>
        <family val="2"/>
      </rPr>
      <t>xi</t>
    </r>
  </si>
  <si>
    <r>
      <t>U</t>
    </r>
    <r>
      <rPr>
        <b/>
        <vertAlign val="subscript"/>
        <sz val="14"/>
        <rFont val="Arial"/>
        <family val="2"/>
      </rPr>
      <t>i</t>
    </r>
  </si>
  <si>
    <r>
      <t>A</t>
    </r>
    <r>
      <rPr>
        <b/>
        <vertAlign val="subscript"/>
        <sz val="14"/>
        <rFont val="Arial"/>
        <family val="2"/>
      </rPr>
      <t>i</t>
    </r>
  </si>
  <si>
    <r>
      <t>F</t>
    </r>
    <r>
      <rPr>
        <b/>
        <vertAlign val="subscript"/>
        <sz val="14"/>
        <rFont val="Arial"/>
        <family val="2"/>
      </rPr>
      <t>xi</t>
    </r>
    <r>
      <rPr>
        <b/>
        <sz val="14"/>
        <rFont val="Arial"/>
        <family val="2"/>
      </rPr>
      <t xml:space="preserve"> * U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*A</t>
    </r>
    <r>
      <rPr>
        <b/>
        <vertAlign val="subscript"/>
        <sz val="14"/>
        <rFont val="Arial"/>
        <family val="2"/>
      </rPr>
      <t>i</t>
    </r>
  </si>
  <si>
    <t>Index</t>
  </si>
  <si>
    <r>
      <t>D</t>
    </r>
    <r>
      <rPr>
        <b/>
        <sz val="14"/>
        <rFont val="Arial"/>
        <family val="2"/>
      </rPr>
      <t>U</t>
    </r>
    <r>
      <rPr>
        <b/>
        <vertAlign val="subscript"/>
        <sz val="14"/>
        <rFont val="Arial"/>
        <family val="2"/>
      </rPr>
      <t>WB</t>
    </r>
  </si>
  <si>
    <r>
      <t>D</t>
    </r>
    <r>
      <rPr>
        <b/>
        <sz val="14"/>
        <rFont val="Arial"/>
        <family val="2"/>
      </rPr>
      <t>U</t>
    </r>
    <r>
      <rPr>
        <b/>
        <vertAlign val="subscript"/>
        <sz val="14"/>
        <rFont val="Arial"/>
        <family val="2"/>
      </rPr>
      <t>WB</t>
    </r>
    <r>
      <rPr>
        <b/>
        <sz val="14"/>
        <rFont val="Arial"/>
        <family val="2"/>
      </rPr>
      <t xml:space="preserve"> * A</t>
    </r>
  </si>
  <si>
    <t>Temperatur-Korrekturfaktoren für unteren Gebäudeabschluss</t>
  </si>
  <si>
    <r>
      <t>A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[m²]</t>
    </r>
  </si>
  <si>
    <r>
      <t>V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[m³]</t>
    </r>
  </si>
  <si>
    <r>
      <t>A</t>
    </r>
    <r>
      <rPr>
        <b/>
        <vertAlign val="subscript"/>
        <sz val="14"/>
        <rFont val="Arial"/>
        <family val="2"/>
      </rPr>
      <t>N</t>
    </r>
    <r>
      <rPr>
        <b/>
        <sz val="14"/>
        <rFont val="Arial"/>
        <family val="2"/>
      </rPr>
      <t xml:space="preserve"> =</t>
    </r>
  </si>
  <si>
    <r>
      <t>0,32 * V</t>
    </r>
    <r>
      <rPr>
        <b/>
        <vertAlign val="subscript"/>
        <sz val="14"/>
        <rFont val="Arial"/>
        <family val="2"/>
      </rPr>
      <t>e</t>
    </r>
    <r>
      <rPr>
        <b/>
        <sz val="14"/>
        <rFont val="Arial"/>
        <family val="2"/>
      </rPr>
      <t xml:space="preserve"> =</t>
    </r>
  </si>
  <si>
    <r>
      <t>V</t>
    </r>
    <r>
      <rPr>
        <b/>
        <vertAlign val="subscript"/>
        <sz val="14"/>
        <rFont val="Arial"/>
        <family val="2"/>
      </rPr>
      <t>e</t>
    </r>
    <r>
      <rPr>
        <b/>
        <sz val="14"/>
        <rFont val="Arial"/>
        <family val="2"/>
      </rPr>
      <t xml:space="preserve"> =</t>
    </r>
  </si>
  <si>
    <r>
      <t>H</t>
    </r>
    <r>
      <rPr>
        <b/>
        <vertAlign val="subscript"/>
        <sz val="14"/>
        <rFont val="Arial"/>
        <family val="2"/>
      </rPr>
      <t>V</t>
    </r>
    <r>
      <rPr>
        <b/>
        <sz val="14"/>
        <rFont val="Arial"/>
        <family val="2"/>
      </rPr>
      <t xml:space="preserve"> [W/K] =</t>
    </r>
  </si>
  <si>
    <r>
      <t>0,34 * n * V</t>
    </r>
    <r>
      <rPr>
        <sz val="14"/>
        <rFont val="Arial"/>
        <family val="2"/>
      </rPr>
      <t xml:space="preserve"> =</t>
    </r>
  </si>
  <si>
    <r>
      <t>(V = 0,76 * V</t>
    </r>
    <r>
      <rPr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bei EFH und ZFH </t>
    </r>
    <r>
      <rPr>
        <sz val="14"/>
        <rFont val="Symbol"/>
        <family val="1"/>
        <charset val="2"/>
      </rPr>
      <t>£</t>
    </r>
    <r>
      <rPr>
        <sz val="14"/>
        <rFont val="Arial"/>
        <family val="2"/>
      </rPr>
      <t xml:space="preserve"> 3 Vollgeschossen,</t>
    </r>
  </si>
  <si>
    <r>
      <t>V = 0,80 * V</t>
    </r>
    <r>
      <rPr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in allen anderen Fällen)</t>
    </r>
  </si>
  <si>
    <r>
      <t>H</t>
    </r>
    <r>
      <rPr>
        <b/>
        <vertAlign val="subscript"/>
        <sz val="14"/>
        <rFont val="Arial"/>
        <family val="2"/>
      </rPr>
      <t>T</t>
    </r>
  </si>
  <si>
    <r>
      <t>H'</t>
    </r>
    <r>
      <rPr>
        <b/>
        <vertAlign val="subscript"/>
        <sz val="14"/>
        <rFont val="Arial"/>
        <family val="2"/>
      </rPr>
      <t>T</t>
    </r>
  </si>
  <si>
    <r>
      <t>Q</t>
    </r>
    <r>
      <rPr>
        <b/>
        <vertAlign val="subscript"/>
        <sz val="14"/>
        <rFont val="Arial"/>
        <family val="2"/>
      </rPr>
      <t>s,j,M</t>
    </r>
  </si>
  <si>
    <r>
      <t>I</t>
    </r>
    <r>
      <rPr>
        <b/>
        <vertAlign val="subscript"/>
        <sz val="14"/>
        <rFont val="Arial"/>
        <family val="2"/>
      </rPr>
      <t>s,j,M</t>
    </r>
  </si>
  <si>
    <r>
      <t>g</t>
    </r>
    <r>
      <rPr>
        <b/>
        <vertAlign val="subscript"/>
        <sz val="14"/>
        <rFont val="Arial"/>
        <family val="2"/>
      </rPr>
      <t>j</t>
    </r>
  </si>
  <si>
    <r>
      <t>A</t>
    </r>
    <r>
      <rPr>
        <b/>
        <vertAlign val="subscript"/>
        <sz val="14"/>
        <rFont val="Arial"/>
        <family val="2"/>
      </rPr>
      <t>sj</t>
    </r>
  </si>
  <si>
    <r>
      <t>(mit 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</si>
  <si>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I,M</t>
    </r>
    <r>
      <rPr>
        <b/>
        <sz val="14"/>
        <rFont val="Arial"/>
        <family val="2"/>
      </rPr>
      <t xml:space="preserve"> [kWh]</t>
    </r>
  </si>
  <si>
    <r>
      <t>= 0,024 * q</t>
    </r>
    <r>
      <rPr>
        <vertAlign val="subscript"/>
        <sz val="14"/>
        <rFont val="Arial"/>
        <family val="2"/>
      </rPr>
      <t>i</t>
    </r>
    <r>
      <rPr>
        <sz val="14"/>
        <rFont val="Arial"/>
        <family val="2"/>
      </rPr>
      <t xml:space="preserve"> * 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 xml:space="preserve"> *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=</t>
    </r>
  </si>
  <si>
    <r>
      <t>= Q</t>
    </r>
    <r>
      <rPr>
        <vertAlign val="subscript"/>
        <sz val="14"/>
        <rFont val="Arial"/>
        <family val="2"/>
      </rPr>
      <t>L,M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h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* (Q</t>
    </r>
    <r>
      <rPr>
        <vertAlign val="subscript"/>
        <sz val="14"/>
        <rFont val="Arial"/>
        <family val="2"/>
      </rPr>
      <t>S,M</t>
    </r>
    <r>
      <rPr>
        <sz val="14"/>
        <rFont val="Arial"/>
        <family val="2"/>
      </rPr>
      <t xml:space="preserve"> + Q</t>
    </r>
    <r>
      <rPr>
        <vertAlign val="subscript"/>
        <sz val="14"/>
        <rFont val="Arial"/>
        <family val="2"/>
      </rPr>
      <t>I,M</t>
    </r>
    <r>
      <rPr>
        <sz val="14"/>
        <rFont val="Arial"/>
        <family val="2"/>
      </rPr>
      <t>) =</t>
    </r>
  </si>
  <si>
    <r>
      <t>Q</t>
    </r>
    <r>
      <rPr>
        <b/>
        <vertAlign val="subscript"/>
        <sz val="14"/>
        <rFont val="Arial"/>
        <family val="2"/>
      </rPr>
      <t>h,M</t>
    </r>
    <r>
      <rPr>
        <b/>
        <sz val="14"/>
        <rFont val="Arial"/>
        <family val="2"/>
      </rPr>
      <t xml:space="preserve"> [kWh]</t>
    </r>
  </si>
  <si>
    <r>
      <t>Q</t>
    </r>
    <r>
      <rPr>
        <b/>
        <vertAlign val="subscript"/>
        <sz val="14"/>
        <rFont val="Arial"/>
        <family val="2"/>
      </rPr>
      <t>L,M</t>
    </r>
    <r>
      <rPr>
        <b/>
        <sz val="14"/>
        <rFont val="Arial"/>
        <family val="2"/>
      </rPr>
      <t xml:space="preserve"> [kWh] =</t>
    </r>
  </si>
  <si>
    <t>Spezifischer Transmissionswärmeverlust des Referenzgebäudes</t>
  </si>
  <si>
    <t>Spezifischer Lüftungswärmeverlust des Referenzgebäudes</t>
  </si>
  <si>
    <r>
      <t>H</t>
    </r>
    <r>
      <rPr>
        <b/>
        <vertAlign val="subscript"/>
        <sz val="14"/>
        <color indexed="12"/>
        <rFont val="Arial"/>
        <family val="2"/>
      </rPr>
      <t>T,ref</t>
    </r>
  </si>
  <si>
    <r>
      <t>H</t>
    </r>
    <r>
      <rPr>
        <b/>
        <vertAlign val="subscript"/>
        <sz val="14"/>
        <color indexed="12"/>
        <rFont val="Arial"/>
        <family val="2"/>
      </rPr>
      <t>V,ref</t>
    </r>
    <r>
      <rPr>
        <b/>
        <sz val="14"/>
        <color indexed="12"/>
        <rFont val="Arial"/>
        <family val="2"/>
      </rPr>
      <t xml:space="preserve"> [W/K] =</t>
    </r>
  </si>
  <si>
    <t>0,34 * n * V =</t>
  </si>
  <si>
    <t>Jahres-Heizwärmebedarf</t>
  </si>
  <si>
    <t>Heizwärmebedarf</t>
  </si>
  <si>
    <t>Monat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</si>
  <si>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</si>
  <si>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</si>
  <si>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</si>
  <si>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</si>
  <si>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</si>
  <si>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</si>
  <si>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</si>
  <si>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</si>
  <si>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</si>
  <si>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</si>
  <si>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</si>
  <si>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</si>
  <si>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Ausnutzungsgrad</t>
  </si>
  <si>
    <r>
      <t xml:space="preserve">Annahme: </t>
    </r>
    <r>
      <rPr>
        <i/>
        <sz val="14"/>
        <rFont val="Arial"/>
        <family val="2"/>
      </rPr>
      <t>schweres</t>
    </r>
    <r>
      <rPr>
        <sz val="14"/>
        <rFont val="Arial"/>
        <family val="2"/>
      </rPr>
      <t xml:space="preserve"> Gebäude o.w.N.</t>
    </r>
  </si>
  <si>
    <r>
      <t>t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[h] =</t>
    </r>
  </si>
  <si>
    <r>
      <t>g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[-] =</t>
    </r>
  </si>
  <si>
    <r>
      <t>a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[-] =</t>
    </r>
  </si>
  <si>
    <r>
      <t>a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+ </t>
    </r>
    <r>
      <rPr>
        <sz val="14"/>
        <rFont val="Symbol"/>
        <family val="1"/>
        <charset val="2"/>
      </rPr>
      <t>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/</t>
    </r>
    <r>
      <rPr>
        <sz val="14"/>
        <rFont val="Symbol"/>
        <family val="1"/>
        <charset val="2"/>
      </rPr>
      <t>t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  =</t>
    </r>
  </si>
  <si>
    <r>
      <t>h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[-] =</t>
    </r>
  </si>
  <si>
    <r>
      <t>(Q</t>
    </r>
    <r>
      <rPr>
        <vertAlign val="subscript"/>
        <sz val="14"/>
        <rFont val="Arial"/>
        <family val="2"/>
      </rPr>
      <t>S,M</t>
    </r>
    <r>
      <rPr>
        <sz val="14"/>
        <rFont val="Arial"/>
        <family val="2"/>
      </rPr>
      <t xml:space="preserve"> + Q</t>
    </r>
    <r>
      <rPr>
        <vertAlign val="subscript"/>
        <sz val="14"/>
        <rFont val="Arial"/>
        <family val="2"/>
      </rPr>
      <t>I,M</t>
    </r>
    <r>
      <rPr>
        <sz val="14"/>
        <rFont val="Arial"/>
        <family val="2"/>
      </rPr>
      <t>) / Q</t>
    </r>
    <r>
      <rPr>
        <vertAlign val="subscript"/>
        <sz val="14"/>
        <rFont val="Arial"/>
        <family val="2"/>
      </rPr>
      <t>L,M</t>
    </r>
    <r>
      <rPr>
        <sz val="14"/>
        <rFont val="Arial"/>
        <family val="2"/>
      </rPr>
      <t xml:space="preserve">  =</t>
    </r>
  </si>
  <si>
    <r>
      <t>(Q</t>
    </r>
    <r>
      <rPr>
        <vertAlign val="subscript"/>
        <sz val="14"/>
        <color indexed="12"/>
        <rFont val="Arial"/>
        <family val="2"/>
      </rPr>
      <t>S,M</t>
    </r>
    <r>
      <rPr>
        <sz val="14"/>
        <color indexed="12"/>
        <rFont val="Arial"/>
        <family val="2"/>
      </rPr>
      <t xml:space="preserve"> + Q</t>
    </r>
    <r>
      <rPr>
        <vertAlign val="subscript"/>
        <sz val="14"/>
        <color indexed="12"/>
        <rFont val="Arial"/>
        <family val="2"/>
      </rPr>
      <t>I,M</t>
    </r>
    <r>
      <rPr>
        <sz val="14"/>
        <color indexed="12"/>
        <rFont val="Arial"/>
        <family val="2"/>
      </rPr>
      <t>) / Q</t>
    </r>
    <r>
      <rPr>
        <vertAlign val="subscript"/>
        <sz val="14"/>
        <color indexed="12"/>
        <rFont val="Arial"/>
        <family val="2"/>
      </rPr>
      <t>L,M</t>
    </r>
    <r>
      <rPr>
        <sz val="14"/>
        <color indexed="12"/>
        <rFont val="Arial"/>
        <family val="2"/>
      </rPr>
      <t xml:space="preserve">  =</t>
    </r>
  </si>
  <si>
    <r>
      <t>= Q</t>
    </r>
    <r>
      <rPr>
        <vertAlign val="subscript"/>
        <sz val="14"/>
        <color indexed="12"/>
        <rFont val="Arial"/>
        <family val="2"/>
      </rPr>
      <t>L,M</t>
    </r>
    <r>
      <rPr>
        <sz val="14"/>
        <color indexed="12"/>
        <rFont val="Arial"/>
        <family val="2"/>
      </rPr>
      <t xml:space="preserve"> - </t>
    </r>
    <r>
      <rPr>
        <sz val="14"/>
        <color indexed="12"/>
        <rFont val="Symbol"/>
        <family val="1"/>
        <charset val="2"/>
      </rPr>
      <t>h</t>
    </r>
    <r>
      <rPr>
        <vertAlign val="subscript"/>
        <sz val="14"/>
        <color indexed="12"/>
        <rFont val="Arial"/>
        <family val="2"/>
      </rPr>
      <t>M</t>
    </r>
    <r>
      <rPr>
        <sz val="14"/>
        <color indexed="12"/>
        <rFont val="Arial"/>
        <family val="2"/>
      </rPr>
      <t xml:space="preserve"> * (Q</t>
    </r>
    <r>
      <rPr>
        <vertAlign val="subscript"/>
        <sz val="14"/>
        <color indexed="12"/>
        <rFont val="Arial"/>
        <family val="2"/>
      </rPr>
      <t>S,M</t>
    </r>
    <r>
      <rPr>
        <sz val="14"/>
        <color indexed="12"/>
        <rFont val="Arial"/>
        <family val="2"/>
      </rPr>
      <t xml:space="preserve"> + Q</t>
    </r>
    <r>
      <rPr>
        <vertAlign val="subscript"/>
        <sz val="14"/>
        <color indexed="12"/>
        <rFont val="Arial"/>
        <family val="2"/>
      </rPr>
      <t>I,M</t>
    </r>
    <r>
      <rPr>
        <sz val="14"/>
        <color indexed="12"/>
        <rFont val="Arial"/>
        <family val="2"/>
      </rPr>
      <t>) =</t>
    </r>
  </si>
  <si>
    <t>Heizwärmebedarf im JANUAR</t>
  </si>
  <si>
    <t>Heizwärmebedarf im FEBRUAR</t>
  </si>
  <si>
    <t>Heizwärmebedarf im JANUAR für das Referenzgebäude</t>
  </si>
  <si>
    <t>Heizwärmebedarf im FEBRUAR für das Referenzgebäude</t>
  </si>
  <si>
    <t>Heizwärmebedarf im MÄRZ</t>
  </si>
  <si>
    <t>Heizwärmebedarf im MÄRZ für das Referenzgebäude</t>
  </si>
  <si>
    <t>Heizwärmebedarf im APRIL</t>
  </si>
  <si>
    <t>Heizwärmebedarf im APRIL für das Referenzgebäude</t>
  </si>
  <si>
    <t>Heizwärmebedarf im MAI</t>
  </si>
  <si>
    <t>Heizwärmebedarf im MAI für das Referenzgebäude</t>
  </si>
  <si>
    <t>Heizwärmebedarf im JUNI</t>
  </si>
  <si>
    <t>Heizwärmebedarf im JUNI für das Referenzgebäude</t>
  </si>
  <si>
    <t>Heizwärmebedarf im JULI</t>
  </si>
  <si>
    <t>Heizwärmebedarf im JULI für das Referenzgebäude</t>
  </si>
  <si>
    <t>Heizwärmebedarf im AUGUST</t>
  </si>
  <si>
    <t>Heizwärmebedarf im AUGUST für das Referenzgebäude</t>
  </si>
  <si>
    <t>Heizwärmebedarf im SEPTEMBER</t>
  </si>
  <si>
    <t>Heizwärmebedarf im SEPTEMBER für das Referenzgebäude</t>
  </si>
  <si>
    <t>Heizwärmebedarf im OKTOBER</t>
  </si>
  <si>
    <t>Heizwärmebedarf im OKTOBER für das Referenzgebäude</t>
  </si>
  <si>
    <t>Heizwärmebedarf im NOVEMBER</t>
  </si>
  <si>
    <t>Heizwärmebedarf im NOVEMBER für das Referenzgebäude</t>
  </si>
  <si>
    <t>Heizwärmebedarf im DEZEMBER</t>
  </si>
  <si>
    <t>Heizwärmebedarf im DEZEMBER für das Referenzgebäude</t>
  </si>
  <si>
    <t>dito Referenzgebäude</t>
  </si>
  <si>
    <r>
      <t>Q</t>
    </r>
    <r>
      <rPr>
        <b/>
        <vertAlign val="subscript"/>
        <sz val="14"/>
        <rFont val="Arial"/>
        <family val="2"/>
      </rPr>
      <t>h</t>
    </r>
    <r>
      <rPr>
        <b/>
        <sz val="14"/>
        <rFont val="Arial"/>
        <family val="2"/>
      </rPr>
      <t xml:space="preserve"> [kWh/a]</t>
    </r>
  </si>
  <si>
    <t>zentral (s.u. bei der Heizung), mit Solarunterstützung</t>
  </si>
  <si>
    <t>indirekt beheizter Solarspeicher</t>
  </si>
  <si>
    <r>
      <t>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 xml:space="preserve"> =</t>
    </r>
  </si>
  <si>
    <r>
      <t>t</t>
    </r>
    <r>
      <rPr>
        <vertAlign val="subscript"/>
        <sz val="14"/>
        <rFont val="Arial"/>
        <family val="2"/>
      </rPr>
      <t>HP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</si>
  <si>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</si>
  <si>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=</t>
    </r>
  </si>
  <si>
    <t>Referenz-Anlagentechnik</t>
  </si>
  <si>
    <t>innerhalb thermischer Hülle</t>
  </si>
  <si>
    <t>zentrale Abluftanlage, bedarfsgeführt mit DC-Ventilator</t>
  </si>
  <si>
    <t>geregelte Pumpe, hydraul. Abgleich</t>
  </si>
  <si>
    <t>an den Außenwänden</t>
  </si>
  <si>
    <t>Verteilung innerhalb thermischer Hülle</t>
  </si>
  <si>
    <t>na1 (T) *)</t>
  </si>
  <si>
    <t>nb1 (T) *)</t>
  </si>
  <si>
    <t>u1 (T) *)</t>
  </si>
  <si>
    <r>
      <t>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/ A =</t>
    </r>
  </si>
  <si>
    <r>
      <t>H</t>
    </r>
    <r>
      <rPr>
        <vertAlign val="subscript"/>
        <sz val="14"/>
        <color indexed="12"/>
        <rFont val="Arial"/>
        <family val="2"/>
      </rPr>
      <t>T,ref</t>
    </r>
    <r>
      <rPr>
        <sz val="14"/>
        <color indexed="12"/>
        <rFont val="Arial"/>
        <family val="2"/>
      </rPr>
      <t xml:space="preserve"> / A =</t>
    </r>
  </si>
  <si>
    <r>
      <t>a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+</t>
    </r>
    <r>
      <rPr>
        <sz val="14"/>
        <color indexed="12"/>
        <rFont val="Arial"/>
        <family val="2"/>
      </rPr>
      <t xml:space="preserve"> </t>
    </r>
    <r>
      <rPr>
        <sz val="14"/>
        <color indexed="12"/>
        <rFont val="Symbol"/>
        <family val="1"/>
        <charset val="2"/>
      </rPr>
      <t>t</t>
    </r>
    <r>
      <rPr>
        <vertAlign val="subscript"/>
        <sz val="14"/>
        <color indexed="12"/>
        <rFont val="Arial"/>
        <family val="2"/>
      </rPr>
      <t>M</t>
    </r>
    <r>
      <rPr>
        <sz val="14"/>
        <rFont val="Arial"/>
        <family val="2"/>
      </rPr>
      <t xml:space="preserve"> /</t>
    </r>
    <r>
      <rPr>
        <sz val="14"/>
        <rFont val="Symbol"/>
        <family val="1"/>
        <charset val="2"/>
      </rPr>
      <t>t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  =</t>
    </r>
  </si>
  <si>
    <r>
      <t xml:space="preserve">(1 - </t>
    </r>
    <r>
      <rPr>
        <sz val="14"/>
        <color indexed="12"/>
        <rFont val="Symbol"/>
        <family val="1"/>
        <charset val="2"/>
      </rPr>
      <t>g</t>
    </r>
    <r>
      <rPr>
        <vertAlign val="subscript"/>
        <sz val="14"/>
        <color indexed="12"/>
        <rFont val="Arial"/>
        <family val="2"/>
      </rPr>
      <t>M</t>
    </r>
    <r>
      <rPr>
        <vertAlign val="superscript"/>
        <sz val="14"/>
        <color indexed="12"/>
        <rFont val="Arial"/>
        <family val="2"/>
      </rPr>
      <t>aM</t>
    </r>
    <r>
      <rPr>
        <sz val="14"/>
        <color indexed="12"/>
        <rFont val="Arial"/>
        <family val="2"/>
      </rPr>
      <t xml:space="preserve">) / (1 - </t>
    </r>
    <r>
      <rPr>
        <sz val="14"/>
        <color indexed="12"/>
        <rFont val="Symbol"/>
        <family val="1"/>
        <charset val="2"/>
      </rPr>
      <t>g</t>
    </r>
    <r>
      <rPr>
        <vertAlign val="subscript"/>
        <sz val="14"/>
        <color indexed="12"/>
        <rFont val="Arial"/>
        <family val="2"/>
      </rPr>
      <t>M</t>
    </r>
    <r>
      <rPr>
        <vertAlign val="superscript"/>
        <sz val="14"/>
        <color indexed="12"/>
        <rFont val="Arial"/>
        <family val="2"/>
      </rPr>
      <t>aM+1</t>
    </r>
    <r>
      <rPr>
        <sz val="14"/>
        <color indexed="12"/>
        <rFont val="Arial"/>
        <family val="2"/>
      </rPr>
      <t xml:space="preserve">) für </t>
    </r>
    <r>
      <rPr>
        <sz val="14"/>
        <color indexed="12"/>
        <rFont val="Symbol"/>
        <family val="1"/>
        <charset val="2"/>
      </rPr>
      <t>g</t>
    </r>
    <r>
      <rPr>
        <vertAlign val="subscript"/>
        <sz val="14"/>
        <color indexed="12"/>
        <rFont val="Arial"/>
        <family val="2"/>
      </rPr>
      <t>M</t>
    </r>
    <r>
      <rPr>
        <sz val="14"/>
        <color indexed="12"/>
        <rFont val="Arial"/>
        <family val="2"/>
      </rPr>
      <t xml:space="preserve"> </t>
    </r>
    <r>
      <rPr>
        <sz val="14"/>
        <color indexed="12"/>
        <rFont val="Symbol"/>
        <family val="1"/>
        <charset val="2"/>
      </rPr>
      <t>¹</t>
    </r>
    <r>
      <rPr>
        <sz val="14"/>
        <color indexed="12"/>
        <rFont val="Arial"/>
        <family val="2"/>
      </rPr>
      <t xml:space="preserve"> 1</t>
    </r>
  </si>
  <si>
    <r>
      <t xml:space="preserve">(1 - </t>
    </r>
    <r>
      <rPr>
        <sz val="14"/>
        <rFont val="Symbol"/>
        <family val="1"/>
        <charset val="2"/>
      </rPr>
      <t>g</t>
    </r>
    <r>
      <rPr>
        <vertAlign val="subscript"/>
        <sz val="14"/>
        <rFont val="Arial"/>
        <family val="2"/>
      </rPr>
      <t>M</t>
    </r>
    <r>
      <rPr>
        <vertAlign val="superscript"/>
        <sz val="14"/>
        <rFont val="Arial"/>
        <family val="2"/>
      </rPr>
      <t>aM</t>
    </r>
    <r>
      <rPr>
        <sz val="14"/>
        <rFont val="Arial"/>
        <family val="2"/>
      </rPr>
      <t xml:space="preserve">) / (1 - </t>
    </r>
    <r>
      <rPr>
        <sz val="14"/>
        <rFont val="Symbol"/>
        <family val="1"/>
        <charset val="2"/>
      </rPr>
      <t>g</t>
    </r>
    <r>
      <rPr>
        <vertAlign val="subscript"/>
        <sz val="14"/>
        <rFont val="Arial"/>
        <family val="2"/>
      </rPr>
      <t>M</t>
    </r>
    <r>
      <rPr>
        <vertAlign val="superscript"/>
        <sz val="14"/>
        <rFont val="Arial"/>
        <family val="2"/>
      </rPr>
      <t>aM+1</t>
    </r>
    <r>
      <rPr>
        <sz val="14"/>
        <rFont val="Arial"/>
        <family val="2"/>
      </rPr>
      <t xml:space="preserve">) für </t>
    </r>
    <r>
      <rPr>
        <sz val="14"/>
        <rFont val="Symbol"/>
        <family val="1"/>
        <charset val="2"/>
      </rPr>
      <t>g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¹</t>
    </r>
    <r>
      <rPr>
        <sz val="14"/>
        <rFont val="Arial"/>
        <family val="2"/>
      </rPr>
      <t xml:space="preserve"> 1</t>
    </r>
  </si>
  <si>
    <t>Nordorient.:</t>
  </si>
  <si>
    <t>Ostorient.:</t>
  </si>
  <si>
    <t>Westorient.:</t>
  </si>
  <si>
    <t>Südorient.:</t>
  </si>
  <si>
    <t>(mit Abluftanlage)</t>
  </si>
  <si>
    <t>Nachtabschaltung</t>
  </si>
  <si>
    <r>
      <t>H</t>
    </r>
    <r>
      <rPr>
        <b/>
        <vertAlign val="subscript"/>
        <sz val="14"/>
        <rFont val="Arial"/>
        <family val="2"/>
      </rPr>
      <t>ic</t>
    </r>
    <r>
      <rPr>
        <b/>
        <sz val="14"/>
        <rFont val="Arial"/>
        <family val="2"/>
      </rPr>
      <t xml:space="preserve"> [W/K] =</t>
    </r>
  </si>
  <si>
    <r>
      <t xml:space="preserve">4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>/R</t>
    </r>
    <r>
      <rPr>
        <vertAlign val="subscript"/>
        <sz val="14"/>
        <rFont val="Arial"/>
        <family val="2"/>
      </rPr>
      <t>si</t>
    </r>
    <r>
      <rPr>
        <sz val="14"/>
        <rFont val="Arial"/>
        <family val="2"/>
      </rPr>
      <t xml:space="preserve"> =</t>
    </r>
  </si>
  <si>
    <r>
      <t>H</t>
    </r>
    <r>
      <rPr>
        <b/>
        <vertAlign val="subscript"/>
        <sz val="14"/>
        <rFont val="Arial"/>
        <family val="2"/>
      </rPr>
      <t>d</t>
    </r>
    <r>
      <rPr>
        <b/>
        <sz val="14"/>
        <rFont val="Arial"/>
        <family val="2"/>
      </rPr>
      <t xml:space="preserve"> [W/K] =</t>
    </r>
  </si>
  <si>
    <r>
      <t>H</t>
    </r>
    <r>
      <rPr>
        <b/>
        <vertAlign val="subscript"/>
        <sz val="14"/>
        <rFont val="Arial"/>
        <family val="2"/>
      </rPr>
      <t>ce</t>
    </r>
    <r>
      <rPr>
        <b/>
        <sz val="14"/>
        <rFont val="Arial"/>
        <family val="2"/>
      </rPr>
      <t xml:space="preserve"> [W/K] =</t>
    </r>
  </si>
  <si>
    <r>
      <t>H</t>
    </r>
    <r>
      <rPr>
        <vertAlign val="subscript"/>
        <sz val="14"/>
        <rFont val="Arial"/>
        <family val="2"/>
      </rPr>
      <t>W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 (aus Tabelle HT+HV)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</si>
  <si>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 - H</t>
    </r>
    <r>
      <rPr>
        <vertAlign val="subscript"/>
        <sz val="14"/>
        <rFont val="Arial"/>
        <family val="2"/>
      </rPr>
      <t>d</t>
    </r>
    <r>
      <rPr>
        <sz val="14"/>
        <rFont val="Arial"/>
        <family val="2"/>
      </rPr>
      <t>)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-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 - H</t>
    </r>
    <r>
      <rPr>
        <vertAlign val="subscript"/>
        <sz val="14"/>
        <rFont val="Arial"/>
        <family val="2"/>
      </rPr>
      <t>d</t>
    </r>
    <r>
      <rPr>
        <sz val="14"/>
        <rFont val="Arial"/>
        <family val="2"/>
      </rPr>
      <t>)) =</t>
    </r>
  </si>
  <si>
    <r>
      <t>z</t>
    </r>
    <r>
      <rPr>
        <b/>
        <sz val="14"/>
        <rFont val="Arial"/>
        <family val="2"/>
      </rPr>
      <t xml:space="preserve"> [-]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</si>
  <si>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ce</t>
    </r>
    <r>
      <rPr>
        <sz val="14"/>
        <rFont val="Arial"/>
        <family val="2"/>
      </rPr>
      <t>)) =</t>
    </r>
  </si>
  <si>
    <r>
      <t>x</t>
    </r>
    <r>
      <rPr>
        <b/>
        <sz val="14"/>
        <rFont val="Arial"/>
        <family val="2"/>
      </rPr>
      <t xml:space="preserve"> [-]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</si>
  <si>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d</t>
    </r>
    <r>
      <rPr>
        <sz val="14"/>
        <rFont val="Arial"/>
        <family val="2"/>
      </rPr>
      <t>)) =</t>
    </r>
  </si>
  <si>
    <r>
      <t>t</t>
    </r>
    <r>
      <rPr>
        <b/>
        <vertAlign val="subscript"/>
        <sz val="14"/>
        <rFont val="Arial"/>
        <family val="2"/>
      </rPr>
      <t>P</t>
    </r>
    <r>
      <rPr>
        <b/>
        <sz val="14"/>
        <rFont val="Arial"/>
        <family val="2"/>
      </rPr>
      <t xml:space="preserve"> [h] =</t>
    </r>
  </si>
  <si>
    <r>
      <t xml:space="preserve">z × </t>
    </r>
    <r>
      <rPr>
        <sz val="14"/>
        <rFont val="Arial"/>
        <family val="2"/>
      </rPr>
      <t>C</t>
    </r>
    <r>
      <rPr>
        <vertAlign val="subscript"/>
        <sz val="14"/>
        <rFont val="Arial"/>
        <family val="2"/>
      </rPr>
      <t>wirk,N</t>
    </r>
    <r>
      <rPr>
        <vertAlign val="subscript"/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/ (</t>
    </r>
    <r>
      <rPr>
        <sz val="14"/>
        <rFont val="Symbol"/>
        <family val="1"/>
        <charset val="2"/>
      </rPr>
      <t>x × (</t>
    </r>
    <r>
      <rPr>
        <sz val="14"/>
        <rFont val="Arial"/>
        <family val="2"/>
      </rPr>
      <t>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>)) =</t>
    </r>
  </si>
  <si>
    <r>
      <t>q</t>
    </r>
    <r>
      <rPr>
        <b/>
        <vertAlign val="subscript"/>
        <sz val="14"/>
        <rFont val="Arial"/>
        <family val="2"/>
      </rPr>
      <t>c0,M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</si>
  <si>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z ×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</si>
  <si>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>F</t>
    </r>
    <r>
      <rPr>
        <b/>
        <vertAlign val="subscript"/>
        <sz val="14"/>
        <rFont val="Arial"/>
        <family val="2"/>
      </rPr>
      <t>pp,M</t>
    </r>
    <r>
      <rPr>
        <b/>
        <sz val="14"/>
        <rFont val="Arial"/>
        <family val="2"/>
      </rPr>
      <t xml:space="preserve"> [W] =</t>
    </r>
  </si>
  <si>
    <r>
      <t xml:space="preserve">1,5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V,05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31 K =</t>
    </r>
  </si>
  <si>
    <r>
      <t>q</t>
    </r>
    <r>
      <rPr>
        <b/>
        <vertAlign val="subscript"/>
        <sz val="14"/>
        <rFont val="Arial"/>
        <family val="2"/>
      </rPr>
      <t>ipp,M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</si>
  <si>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F</t>
    </r>
    <r>
      <rPr>
        <vertAlign val="subscript"/>
        <sz val="14"/>
        <rFont val="Arial"/>
        <family val="2"/>
      </rPr>
      <t>pp,M</t>
    </r>
    <r>
      <rPr>
        <sz val="14"/>
        <rFont val="Symbol"/>
        <family val="1"/>
        <charset val="2"/>
      </rPr>
      <t xml:space="preserve"> / (</t>
    </r>
    <r>
      <rPr>
        <sz val="14"/>
        <rFont val="Arial"/>
        <family val="2"/>
      </rPr>
      <t>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>) =</t>
    </r>
  </si>
  <si>
    <r>
      <t>q</t>
    </r>
    <r>
      <rPr>
        <b/>
        <vertAlign val="subscript"/>
        <sz val="14"/>
        <rFont val="Arial"/>
        <family val="2"/>
      </rPr>
      <t>cpp,M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</si>
  <si>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z × (q</t>
    </r>
    <r>
      <rPr>
        <vertAlign val="subscript"/>
        <sz val="14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</si>
  <si>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>q</t>
    </r>
    <r>
      <rPr>
        <b/>
        <vertAlign val="subscript"/>
        <sz val="14"/>
        <rFont val="Arial"/>
        <family val="2"/>
      </rPr>
      <t>i1,M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</si>
  <si>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x × (q</t>
    </r>
    <r>
      <rPr>
        <vertAlign val="subscript"/>
        <sz val="14"/>
        <rFont val="Arial"/>
        <family val="2"/>
      </rPr>
      <t>c0,M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perscript"/>
        <sz val="14"/>
        <rFont val="Arial"/>
        <family val="2"/>
      </rPr>
      <t>(-tu/</t>
    </r>
    <r>
      <rPr>
        <vertAlign val="superscript"/>
        <sz val="14"/>
        <rFont val="Symbol"/>
        <family val="1"/>
        <charset val="2"/>
      </rPr>
      <t>t</t>
    </r>
    <r>
      <rPr>
        <vertAlign val="superscript"/>
        <sz val="14"/>
        <rFont val="Arial"/>
        <family val="2"/>
      </rPr>
      <t>P)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</si>
  <si>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c1,M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</si>
  <si>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c2,M</t>
    </r>
    <r>
      <rPr>
        <sz val="14"/>
        <rFont val="Symbol"/>
        <family val="1"/>
        <charset val="2"/>
      </rPr>
      <t xml:space="preserve"> = 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(q</t>
    </r>
    <r>
      <rPr>
        <vertAlign val="subscript"/>
        <sz val="14"/>
        <rFont val="Arial"/>
        <family val="2"/>
      </rPr>
      <t>i1,M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/ </t>
    </r>
    <r>
      <rPr>
        <sz val="14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</si>
  <si>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>t</t>
    </r>
    <r>
      <rPr>
        <b/>
        <vertAlign val="subscript"/>
        <sz val="14"/>
        <rFont val="Arial"/>
        <family val="2"/>
      </rPr>
      <t>bh,M</t>
    </r>
    <r>
      <rPr>
        <b/>
        <sz val="14"/>
        <rFont val="Arial"/>
        <family val="2"/>
      </rPr>
      <t xml:space="preserve"> [h] =</t>
    </r>
  </si>
  <si>
    <r>
      <t>t</t>
    </r>
    <r>
      <rPr>
        <vertAlign val="subscript"/>
        <sz val="14"/>
        <rFont val="Arial"/>
        <family val="2"/>
      </rPr>
      <t>P</t>
    </r>
    <r>
      <rPr>
        <sz val="14"/>
        <rFont val="Symbol"/>
        <family val="1"/>
        <charset val="2"/>
      </rPr>
      <t xml:space="preserve"> × </t>
    </r>
    <r>
      <rPr>
        <sz val="14"/>
        <rFont val="Arial"/>
        <family val="2"/>
      </rPr>
      <t>ln (</t>
    </r>
    <r>
      <rPr>
        <sz val="14"/>
        <rFont val="Symbol"/>
        <family val="1"/>
        <charset val="2"/>
      </rPr>
      <t>x ×</t>
    </r>
    <r>
      <rPr>
        <sz val="14"/>
        <rFont val="Arial"/>
        <family val="2"/>
      </rPr>
      <t xml:space="preserve"> (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cpp,M</t>
    </r>
    <r>
      <rPr>
        <sz val="14"/>
        <rFont val="Symbol"/>
        <family val="1"/>
        <charset val="2"/>
      </rPr>
      <t xml:space="preserve"> - q</t>
    </r>
    <r>
      <rPr>
        <vertAlign val="subscript"/>
        <sz val="14"/>
        <rFont val="Arial"/>
        <family val="2"/>
      </rPr>
      <t>c2,M</t>
    </r>
    <r>
      <rPr>
        <sz val="14"/>
        <rFont val="Arial"/>
        <family val="2"/>
      </rPr>
      <t>)</t>
    </r>
    <r>
      <rPr>
        <sz val="14"/>
        <rFont val="Symbol"/>
        <family val="1"/>
        <charset val="2"/>
      </rPr>
      <t xml:space="preserve"> / (q</t>
    </r>
    <r>
      <rPr>
        <vertAlign val="subscript"/>
        <sz val="14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>)) =</t>
    </r>
  </si>
  <si>
    <r>
      <t>q</t>
    </r>
    <r>
      <rPr>
        <b/>
        <vertAlign val="subscript"/>
        <sz val="14"/>
        <rFont val="Arial"/>
        <family val="2"/>
      </rPr>
      <t>c3,M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</si>
  <si>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cpp,M</t>
    </r>
    <r>
      <rPr>
        <sz val="14"/>
        <rFont val="Symbol"/>
        <family val="1"/>
        <charset val="2"/>
      </rPr>
      <t xml:space="preserve"> +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ipp,M</t>
    </r>
    <r>
      <rPr>
        <sz val="14"/>
        <rFont val="Arial"/>
        <family val="2"/>
      </rPr>
      <t xml:space="preserve">) / </t>
    </r>
    <r>
      <rPr>
        <sz val="14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</si>
  <si>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>D</t>
    </r>
    <r>
      <rPr>
        <b/>
        <sz val="14"/>
        <rFont val="Arial"/>
        <family val="2"/>
      </rPr>
      <t>Q</t>
    </r>
    <r>
      <rPr>
        <b/>
        <vertAlign val="subscript"/>
        <sz val="14"/>
        <rFont val="Arial"/>
        <family val="2"/>
      </rPr>
      <t>L,M</t>
    </r>
    <r>
      <rPr>
        <b/>
        <sz val="14"/>
        <rFont val="Arial"/>
        <family val="2"/>
      </rPr>
      <t xml:space="preserve"> [kWh] =</t>
    </r>
  </si>
  <si>
    <r>
      <t xml:space="preserve">mit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 =</t>
    </r>
  </si>
  <si>
    <r>
      <t>und mit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=</t>
    </r>
  </si>
  <si>
    <t>°C</t>
  </si>
  <si>
    <t>d/Monat</t>
  </si>
  <si>
    <t>JANUAR</t>
  </si>
  <si>
    <r>
      <t xml:space="preserve">0,024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>+H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(q</t>
    </r>
    <r>
      <rPr>
        <vertAlign val="subscript"/>
        <sz val="14"/>
        <rFont val="Arial"/>
        <family val="2"/>
      </rPr>
      <t>i</t>
    </r>
    <r>
      <rPr>
        <sz val="14"/>
        <rFont val="Symbol"/>
        <family val="1"/>
        <charset val="2"/>
      </rPr>
      <t>-q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>)</t>
    </r>
    <r>
      <rPr>
        <vertAlign val="subscript"/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D</t>
    </r>
    <r>
      <rPr>
        <sz val="14"/>
        <rFont val="Arial"/>
        <family val="2"/>
      </rPr>
      <t>Q</t>
    </r>
    <r>
      <rPr>
        <vertAlign val="subscript"/>
        <sz val="14"/>
        <rFont val="Arial"/>
        <family val="2"/>
      </rPr>
      <t>L,M</t>
    </r>
    <r>
      <rPr>
        <sz val="14"/>
        <rFont val="Arial"/>
        <family val="2"/>
      </rPr>
      <t xml:space="preserve"> =</t>
    </r>
  </si>
  <si>
    <r>
      <t>H</t>
    </r>
    <r>
      <rPr>
        <vertAlign val="subscript"/>
        <sz val="14"/>
        <color indexed="12"/>
        <rFont val="Arial"/>
        <family val="2"/>
      </rPr>
      <t>W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 (aus Tabelle HT+HV)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</si>
  <si>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color indexed="12"/>
        <rFont val="Arial"/>
        <family val="2"/>
      </rPr>
      <t xml:space="preserve"> 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 - H</t>
    </r>
    <r>
      <rPr>
        <vertAlign val="subscript"/>
        <sz val="14"/>
        <color indexed="12"/>
        <rFont val="Arial"/>
        <family val="2"/>
      </rPr>
      <t>d</t>
    </r>
    <r>
      <rPr>
        <sz val="14"/>
        <color indexed="12"/>
        <rFont val="Arial"/>
        <family val="2"/>
      </rPr>
      <t>) / (</t>
    </r>
    <r>
      <rPr>
        <sz val="14"/>
        <rFont val="Arial"/>
        <family val="2"/>
      </rPr>
      <t>H</t>
    </r>
    <r>
      <rPr>
        <vertAlign val="subscript"/>
        <sz val="14"/>
        <rFont val="Arial"/>
        <family val="2"/>
      </rPr>
      <t>ic</t>
    </r>
    <r>
      <rPr>
        <sz val="14"/>
        <color indexed="12"/>
        <rFont val="Arial"/>
        <family val="2"/>
      </rPr>
      <t xml:space="preserve"> - 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 - H</t>
    </r>
    <r>
      <rPr>
        <vertAlign val="subscript"/>
        <sz val="14"/>
        <color indexed="12"/>
        <rFont val="Arial"/>
        <family val="2"/>
      </rPr>
      <t>d</t>
    </r>
    <r>
      <rPr>
        <sz val="14"/>
        <color indexed="12"/>
        <rFont val="Arial"/>
        <family val="2"/>
      </rPr>
      <t>))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</si>
  <si>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ce</t>
    </r>
    <r>
      <rPr>
        <sz val="14"/>
        <rFont val="Arial"/>
        <family val="2"/>
      </rPr>
      <t>))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</si>
  <si>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d</t>
    </r>
    <r>
      <rPr>
        <sz val="14"/>
        <rFont val="Arial"/>
        <family val="2"/>
      </rPr>
      <t>)) =</t>
    </r>
  </si>
  <si>
    <r>
      <t xml:space="preserve">z </t>
    </r>
    <r>
      <rPr>
        <sz val="14"/>
        <rFont val="Symbol"/>
        <family val="1"/>
        <charset val="2"/>
      </rPr>
      <t xml:space="preserve">× </t>
    </r>
    <r>
      <rPr>
        <sz val="14"/>
        <rFont val="Arial"/>
        <family val="2"/>
      </rPr>
      <t>C</t>
    </r>
    <r>
      <rPr>
        <vertAlign val="subscript"/>
        <sz val="14"/>
        <rFont val="Arial"/>
        <family val="2"/>
      </rPr>
      <t>wirk,N</t>
    </r>
    <r>
      <rPr>
        <vertAlign val="subscript"/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/ </t>
    </r>
    <r>
      <rPr>
        <sz val="14"/>
        <color indexed="12"/>
        <rFont val="Arial"/>
        <family val="2"/>
      </rPr>
      <t>(</t>
    </r>
    <r>
      <rPr>
        <sz val="14"/>
        <color indexed="12"/>
        <rFont val="Symbol"/>
        <family val="1"/>
        <charset val="2"/>
      </rPr>
      <t>x × (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>))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</si>
  <si>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 xml:space="preserve">z </t>
    </r>
    <r>
      <rPr>
        <sz val="14"/>
        <rFont val="Symbol"/>
        <family val="1"/>
        <charset val="2"/>
      </rPr>
      <t>×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</si>
  <si>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 xml:space="preserve">1,5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color indexed="12"/>
        <rFont val="Arial"/>
        <family val="2"/>
      </rPr>
      <t>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V,05</t>
    </r>
    <r>
      <rPr>
        <sz val="14"/>
        <color indexed="12"/>
        <rFont val="Arial"/>
        <family val="2"/>
      </rPr>
      <t>)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31 K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</si>
  <si>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>F</t>
    </r>
    <r>
      <rPr>
        <vertAlign val="subscript"/>
        <sz val="14"/>
        <color indexed="12"/>
        <rFont val="Arial"/>
        <family val="2"/>
      </rPr>
      <t>pp,M</t>
    </r>
    <r>
      <rPr>
        <sz val="14"/>
        <color indexed="12"/>
        <rFont val="Symbol"/>
        <family val="1"/>
        <charset val="2"/>
      </rPr>
      <t xml:space="preserve"> / (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>)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</si>
  <si>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>z × (q</t>
    </r>
    <r>
      <rPr>
        <vertAlign val="subscript"/>
        <sz val="14"/>
        <color indexed="12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</si>
  <si>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 xml:space="preserve">x </t>
    </r>
    <r>
      <rPr>
        <sz val="14"/>
        <rFont val="Symbol"/>
        <family val="1"/>
        <charset val="2"/>
      </rPr>
      <t>× (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c0,M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perscript"/>
        <sz val="14"/>
        <rFont val="Arial"/>
        <family val="2"/>
      </rPr>
      <t>(-tu/</t>
    </r>
    <r>
      <rPr>
        <vertAlign val="superscript"/>
        <sz val="14"/>
        <color indexed="12"/>
        <rFont val="Symbol"/>
        <family val="1"/>
        <charset val="2"/>
      </rPr>
      <t>t</t>
    </r>
    <r>
      <rPr>
        <vertAlign val="superscript"/>
        <sz val="14"/>
        <color indexed="12"/>
        <rFont val="Arial"/>
        <family val="2"/>
      </rPr>
      <t>P</t>
    </r>
    <r>
      <rPr>
        <vertAlign val="superscript"/>
        <sz val="14"/>
        <rFont val="Arial"/>
        <family val="2"/>
      </rPr>
      <t>)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</si>
  <si>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c2,M</t>
    </r>
    <r>
      <rPr>
        <sz val="14"/>
        <rFont val="Symbol"/>
        <family val="1"/>
        <charset val="2"/>
      </rPr>
      <t xml:space="preserve"> = 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(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i1,M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/ </t>
    </r>
    <r>
      <rPr>
        <sz val="14"/>
        <color indexed="12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</si>
  <si>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>t</t>
    </r>
    <r>
      <rPr>
        <vertAlign val="subscript"/>
        <sz val="14"/>
        <color indexed="12"/>
        <rFont val="Arial"/>
        <family val="2"/>
      </rPr>
      <t>P</t>
    </r>
    <r>
      <rPr>
        <sz val="14"/>
        <color indexed="12"/>
        <rFont val="Symbol"/>
        <family val="1"/>
        <charset val="2"/>
      </rPr>
      <t xml:space="preserve"> × </t>
    </r>
    <r>
      <rPr>
        <sz val="14"/>
        <color indexed="12"/>
        <rFont val="Arial"/>
        <family val="2"/>
      </rPr>
      <t>ln (</t>
    </r>
    <r>
      <rPr>
        <sz val="14"/>
        <color indexed="12"/>
        <rFont val="Symbol"/>
        <family val="1"/>
        <charset val="2"/>
      </rPr>
      <t>x ×</t>
    </r>
    <r>
      <rPr>
        <sz val="14"/>
        <color indexed="12"/>
        <rFont val="Arial"/>
        <family val="2"/>
      </rPr>
      <t xml:space="preserve"> (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cpp,M</t>
    </r>
    <r>
      <rPr>
        <sz val="14"/>
        <color indexed="12"/>
        <rFont val="Symbol"/>
        <family val="1"/>
        <charset val="2"/>
      </rPr>
      <t xml:space="preserve"> - q</t>
    </r>
    <r>
      <rPr>
        <vertAlign val="subscript"/>
        <sz val="14"/>
        <color indexed="12"/>
        <rFont val="Arial"/>
        <family val="2"/>
      </rPr>
      <t>c2,M</t>
    </r>
    <r>
      <rPr>
        <sz val="14"/>
        <color indexed="12"/>
        <rFont val="Arial"/>
        <family val="2"/>
      </rPr>
      <t>)</t>
    </r>
    <r>
      <rPr>
        <sz val="14"/>
        <color indexed="12"/>
        <rFont val="Symbol"/>
        <family val="1"/>
        <charset val="2"/>
      </rPr>
      <t xml:space="preserve"> / (q</t>
    </r>
    <r>
      <rPr>
        <vertAlign val="subscript"/>
        <sz val="14"/>
        <color indexed="12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>)) =</t>
    </r>
  </si>
  <si>
    <r>
      <t>q</t>
    </r>
    <r>
      <rPr>
        <vertAlign val="subscript"/>
        <sz val="14"/>
        <color indexed="12"/>
        <rFont val="Arial"/>
        <family val="2"/>
      </rPr>
      <t>cpp,M</t>
    </r>
    <r>
      <rPr>
        <sz val="14"/>
        <rFont val="Symbol"/>
        <family val="1"/>
        <charset val="2"/>
      </rPr>
      <t xml:space="preserve"> +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ipp,M</t>
    </r>
    <r>
      <rPr>
        <sz val="14"/>
        <color indexed="12"/>
        <rFont val="Arial"/>
        <family val="2"/>
      </rPr>
      <t xml:space="preserve">) / </t>
    </r>
    <r>
      <rPr>
        <sz val="14"/>
        <color indexed="12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</si>
  <si>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 xml:space="preserve">0,024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color indexed="12"/>
        <rFont val="Arial"/>
        <family val="2"/>
      </rPr>
      <t>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>+H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) </t>
    </r>
    <r>
      <rPr>
        <sz val="14"/>
        <color indexed="12"/>
        <rFont val="Symbol"/>
        <family val="1"/>
        <charset val="2"/>
      </rPr>
      <t>×</t>
    </r>
    <r>
      <rPr>
        <sz val="14"/>
        <color indexed="12"/>
        <rFont val="Arial"/>
        <family val="2"/>
      </rPr>
      <t xml:space="preserve"> </t>
    </r>
    <r>
      <rPr>
        <sz val="14"/>
        <rFont val="Symbol"/>
        <family val="1"/>
        <charset val="2"/>
      </rPr>
      <t>(q</t>
    </r>
    <r>
      <rPr>
        <vertAlign val="subscript"/>
        <sz val="14"/>
        <rFont val="Arial"/>
        <family val="2"/>
      </rPr>
      <t>i</t>
    </r>
    <r>
      <rPr>
        <sz val="14"/>
        <rFont val="Symbol"/>
        <family val="1"/>
        <charset val="2"/>
      </rPr>
      <t>-q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>)</t>
    </r>
    <r>
      <rPr>
        <vertAlign val="subscript"/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- </t>
    </r>
    <r>
      <rPr>
        <sz val="14"/>
        <color indexed="12"/>
        <rFont val="Symbol"/>
        <family val="1"/>
        <charset val="2"/>
      </rPr>
      <t>D</t>
    </r>
    <r>
      <rPr>
        <sz val="14"/>
        <color indexed="12"/>
        <rFont val="Arial"/>
        <family val="2"/>
      </rPr>
      <t>Q</t>
    </r>
    <r>
      <rPr>
        <vertAlign val="subscript"/>
        <sz val="14"/>
        <color indexed="12"/>
        <rFont val="Arial"/>
        <family val="2"/>
      </rPr>
      <t>L,M</t>
    </r>
    <r>
      <rPr>
        <sz val="14"/>
        <rFont val="Arial"/>
        <family val="2"/>
      </rPr>
      <t xml:space="preserve"> =</t>
    </r>
  </si>
  <si>
    <t>FEBRUAR</t>
  </si>
  <si>
    <r>
      <t>C</t>
    </r>
    <r>
      <rPr>
        <vertAlign val="subscript"/>
        <sz val="14"/>
        <rFont val="Arial"/>
        <family val="2"/>
      </rPr>
      <t>wirk,</t>
    </r>
    <r>
      <rPr>
        <vertAlign val="subscript"/>
        <sz val="14"/>
        <rFont val="Symbol"/>
        <family val="1"/>
        <charset val="2"/>
      </rPr>
      <t>h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>) =</t>
    </r>
  </si>
  <si>
    <r>
      <t>C</t>
    </r>
    <r>
      <rPr>
        <vertAlign val="subscript"/>
        <sz val="14"/>
        <rFont val="Arial"/>
        <family val="2"/>
      </rPr>
      <t>wirk,</t>
    </r>
    <r>
      <rPr>
        <vertAlign val="subscript"/>
        <sz val="14"/>
        <rFont val="Symbol"/>
        <family val="1"/>
        <charset val="2"/>
      </rPr>
      <t>h</t>
    </r>
    <r>
      <rPr>
        <sz val="14"/>
        <rFont val="Arial"/>
        <family val="2"/>
      </rPr>
      <t xml:space="preserve"> / </t>
    </r>
    <r>
      <rPr>
        <sz val="14"/>
        <color indexed="12"/>
        <rFont val="Arial"/>
        <family val="2"/>
      </rPr>
      <t>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>)</t>
    </r>
    <r>
      <rPr>
        <sz val="14"/>
        <rFont val="Arial"/>
        <family val="2"/>
      </rPr>
      <t xml:space="preserve"> =</t>
    </r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</si>
  <si>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</si>
  <si>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</si>
  <si>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</si>
  <si>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</si>
  <si>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</si>
  <si>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</si>
  <si>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</si>
  <si>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</si>
  <si>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</si>
  <si>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W1,N</t>
  </si>
  <si>
    <t>W1,O</t>
  </si>
  <si>
    <t>W1,S</t>
  </si>
  <si>
    <t>W2,S</t>
  </si>
  <si>
    <t>AW1,N</t>
  </si>
  <si>
    <t>AW1,O</t>
  </si>
  <si>
    <t>AW1,S</t>
  </si>
  <si>
    <t>AW2,S</t>
  </si>
  <si>
    <t>W1</t>
  </si>
  <si>
    <t>W2</t>
  </si>
  <si>
    <t>AW1</t>
  </si>
  <si>
    <t>AW2</t>
  </si>
  <si>
    <t>(bereits beim spezif. Lüftungswärmeverlust berücksichtigt)</t>
  </si>
  <si>
    <t>[m²] =</t>
  </si>
  <si>
    <t>[kWh/(m² a)] =</t>
  </si>
  <si>
    <t>Wärme (nur EIN Trinkwasserstrang):</t>
  </si>
  <si>
    <t>(s.o.)</t>
  </si>
  <si>
    <t>(Tab. C.1-1)</t>
  </si>
  <si>
    <t>(Tab. C.1-2a, c)</t>
  </si>
  <si>
    <t>(Tab. C.1-3a)</t>
  </si>
  <si>
    <t>(Tab. C.1-4a)</t>
  </si>
  <si>
    <t>[-] =</t>
  </si>
  <si>
    <t>(Tab. C.1-4b, ...)</t>
  </si>
  <si>
    <t>Heizwärmegutschrift:</t>
  </si>
  <si>
    <t>(Tab. C.1-2a)</t>
  </si>
  <si>
    <t>Hilfsenergie (nur EIN Trinkwasserstrang):</t>
  </si>
  <si>
    <t>(Tab. C.1-2b)</t>
  </si>
  <si>
    <t>(Tab. C.1-3b)</t>
  </si>
  <si>
    <t>Zusammenstellung:</t>
  </si>
  <si>
    <t>Endenergie</t>
  </si>
  <si>
    <t>(Wärme)</t>
  </si>
  <si>
    <t>(Hilfsenergie)</t>
  </si>
  <si>
    <t>Primärenergie</t>
  </si>
  <si>
    <t>(Trinkwgutschr.)</t>
  </si>
  <si>
    <t>(Lüftungsgutschr.)</t>
  </si>
  <si>
    <t>(Tab. C.3-1)</t>
  </si>
  <si>
    <t>(Tab. C.3-2a, b, d)</t>
  </si>
  <si>
    <t>(Tab. C.3-3)</t>
  </si>
  <si>
    <t>(Tab. C.3-4a)</t>
  </si>
  <si>
    <t>(Tab. C.3-4b,...,e)</t>
  </si>
  <si>
    <t>(Tab. C.3-2c)</t>
  </si>
  <si>
    <t>HEIZUNG:</t>
  </si>
  <si>
    <t>TRINKWASSERERWÄRMUNG:</t>
  </si>
  <si>
    <t>Trinkwasser:</t>
  </si>
  <si>
    <t>Deckung</t>
  </si>
  <si>
    <t>Energieträger:</t>
  </si>
  <si>
    <t>Endenergie:</t>
  </si>
  <si>
    <t>Primärenergie:</t>
  </si>
  <si>
    <t>Wärme 1</t>
  </si>
  <si>
    <t>[kWh/a]:</t>
  </si>
  <si>
    <t>Wärme 2</t>
  </si>
  <si>
    <t>Wärme 3</t>
  </si>
  <si>
    <t>Hilfsenergie</t>
  </si>
  <si>
    <t>Strom</t>
  </si>
  <si>
    <t>ANLAGENBEWERTUNG:</t>
  </si>
  <si>
    <r>
      <t>A</t>
    </r>
    <r>
      <rPr>
        <b/>
        <vertAlign val="subscript"/>
        <sz val="14"/>
        <rFont val="Arial"/>
        <family val="2"/>
      </rPr>
      <t>N</t>
    </r>
  </si>
  <si>
    <r>
      <t>Q</t>
    </r>
    <r>
      <rPr>
        <b/>
        <vertAlign val="subscript"/>
        <sz val="14"/>
        <rFont val="Arial"/>
        <family val="2"/>
      </rPr>
      <t>h</t>
    </r>
  </si>
  <si>
    <r>
      <t>q</t>
    </r>
    <r>
      <rPr>
        <b/>
        <vertAlign val="subscript"/>
        <sz val="14"/>
        <rFont val="Arial"/>
        <family val="2"/>
      </rPr>
      <t>h</t>
    </r>
  </si>
  <si>
    <r>
      <t>q</t>
    </r>
    <r>
      <rPr>
        <b/>
        <vertAlign val="subscript"/>
        <sz val="14"/>
        <rFont val="Arial"/>
        <family val="2"/>
      </rPr>
      <t>tw</t>
    </r>
  </si>
  <si>
    <r>
      <t>q</t>
    </r>
    <r>
      <rPr>
        <b/>
        <vertAlign val="subscript"/>
        <sz val="14"/>
        <rFont val="Arial"/>
        <family val="2"/>
      </rPr>
      <t>TW,ce</t>
    </r>
  </si>
  <si>
    <r>
      <t>q</t>
    </r>
    <r>
      <rPr>
        <b/>
        <vertAlign val="subscript"/>
        <sz val="14"/>
        <rFont val="Arial"/>
        <family val="2"/>
      </rPr>
      <t>TW,d</t>
    </r>
  </si>
  <si>
    <r>
      <t>q</t>
    </r>
    <r>
      <rPr>
        <b/>
        <vertAlign val="subscript"/>
        <sz val="14"/>
        <rFont val="Arial"/>
        <family val="2"/>
      </rPr>
      <t>TW,s</t>
    </r>
  </si>
  <si>
    <r>
      <t>S</t>
    </r>
    <r>
      <rPr>
        <b/>
        <sz val="14"/>
        <rFont val="Arial"/>
        <family val="2"/>
      </rPr>
      <t xml:space="preserve"> q</t>
    </r>
    <r>
      <rPr>
        <b/>
        <vertAlign val="subscript"/>
        <sz val="14"/>
        <rFont val="Arial"/>
        <family val="2"/>
      </rPr>
      <t xml:space="preserve">TW </t>
    </r>
  </si>
  <si>
    <r>
      <t>a</t>
    </r>
    <r>
      <rPr>
        <b/>
        <vertAlign val="subscript"/>
        <sz val="14"/>
        <rFont val="Arial"/>
        <family val="2"/>
      </rPr>
      <t>TW,g</t>
    </r>
  </si>
  <si>
    <r>
      <t>e</t>
    </r>
    <r>
      <rPr>
        <b/>
        <vertAlign val="subscript"/>
        <sz val="14"/>
        <rFont val="Arial"/>
        <family val="2"/>
      </rPr>
      <t>TW,g</t>
    </r>
  </si>
  <si>
    <r>
      <t>q</t>
    </r>
    <r>
      <rPr>
        <b/>
        <vertAlign val="subscript"/>
        <sz val="14"/>
        <rFont val="Arial"/>
        <family val="2"/>
      </rPr>
      <t>TW,E</t>
    </r>
    <r>
      <rPr>
        <b/>
        <sz val="14"/>
        <rFont val="Arial"/>
        <family val="2"/>
      </rPr>
      <t xml:space="preserve"> =</t>
    </r>
  </si>
  <si>
    <r>
      <t>f</t>
    </r>
    <r>
      <rPr>
        <b/>
        <vertAlign val="subscript"/>
        <sz val="14"/>
        <rFont val="Arial"/>
        <family val="2"/>
      </rPr>
      <t>P,j</t>
    </r>
  </si>
  <si>
    <r>
      <t>q</t>
    </r>
    <r>
      <rPr>
        <b/>
        <vertAlign val="subscript"/>
        <sz val="14"/>
        <rFont val="Arial"/>
        <family val="2"/>
      </rPr>
      <t>TW,P</t>
    </r>
    <r>
      <rPr>
        <b/>
        <sz val="14"/>
        <rFont val="Arial"/>
        <family val="2"/>
      </rPr>
      <t xml:space="preserve"> =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</si>
  <si>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bscript"/>
        <sz val="14"/>
        <rFont val="Arial"/>
        <family val="2"/>
      </rPr>
      <t>TW,g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>TW,g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</si>
  <si>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TW,E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P,j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</si>
  <si>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h,TW,d</t>
    </r>
  </si>
  <si>
    <r>
      <t>q</t>
    </r>
    <r>
      <rPr>
        <b/>
        <vertAlign val="subscript"/>
        <sz val="14"/>
        <rFont val="Arial"/>
        <family val="2"/>
      </rPr>
      <t>h,TW,s</t>
    </r>
  </si>
  <si>
    <r>
      <t>q</t>
    </r>
    <r>
      <rPr>
        <b/>
        <vertAlign val="subscript"/>
        <sz val="14"/>
        <rFont val="Arial"/>
        <family val="2"/>
      </rPr>
      <t>h,TW</t>
    </r>
  </si>
  <si>
    <r>
      <t>q</t>
    </r>
    <r>
      <rPr>
        <b/>
        <vertAlign val="subscript"/>
        <sz val="14"/>
        <rFont val="Arial"/>
        <family val="2"/>
      </rPr>
      <t>TW,ce,HE</t>
    </r>
  </si>
  <si>
    <r>
      <t>q</t>
    </r>
    <r>
      <rPr>
        <b/>
        <vertAlign val="subscript"/>
        <sz val="14"/>
        <rFont val="Arial"/>
        <family val="2"/>
      </rPr>
      <t>TW,d,HE</t>
    </r>
  </si>
  <si>
    <r>
      <t>q</t>
    </r>
    <r>
      <rPr>
        <b/>
        <vertAlign val="subscript"/>
        <sz val="14"/>
        <rFont val="Arial"/>
        <family val="2"/>
      </rPr>
      <t>TW,s,HE</t>
    </r>
  </si>
  <si>
    <r>
      <t>q</t>
    </r>
    <r>
      <rPr>
        <b/>
        <vertAlign val="subscript"/>
        <sz val="14"/>
        <rFont val="Arial"/>
        <family val="2"/>
      </rPr>
      <t>TW,g,HE</t>
    </r>
  </si>
  <si>
    <r>
      <t>q</t>
    </r>
    <r>
      <rPr>
        <b/>
        <vertAlign val="subscript"/>
        <sz val="14"/>
        <rFont val="Arial"/>
        <family val="2"/>
      </rPr>
      <t>TW,HE,E</t>
    </r>
    <r>
      <rPr>
        <b/>
        <sz val="14"/>
        <rFont val="Arial"/>
        <family val="2"/>
      </rPr>
      <t xml:space="preserve"> =</t>
    </r>
  </si>
  <si>
    <r>
      <t>f</t>
    </r>
    <r>
      <rPr>
        <b/>
        <vertAlign val="subscript"/>
        <sz val="14"/>
        <rFont val="Arial"/>
        <family val="2"/>
      </rPr>
      <t>P</t>
    </r>
  </si>
  <si>
    <r>
      <t>q</t>
    </r>
    <r>
      <rPr>
        <b/>
        <vertAlign val="subscript"/>
        <sz val="14"/>
        <rFont val="Arial"/>
        <family val="2"/>
      </rPr>
      <t>TW,HE,P</t>
    </r>
    <r>
      <rPr>
        <b/>
        <sz val="14"/>
        <rFont val="Arial"/>
        <family val="2"/>
      </rPr>
      <t xml:space="preserve"> =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</si>
  <si>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TW,j,HE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</si>
  <si>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TW,HE,E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</si>
  <si>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TW,HE,E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</si>
  <si>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TW,P</t>
    </r>
    <r>
      <rPr>
        <sz val="14"/>
        <rFont val="Arial"/>
        <family val="2"/>
      </rPr>
      <t xml:space="preserve"> [kWh/a] =</t>
    </r>
  </si>
  <si>
    <r>
      <t>Q</t>
    </r>
    <r>
      <rPr>
        <b/>
        <vertAlign val="subscript"/>
        <sz val="14"/>
        <rFont val="Arial"/>
        <family val="2"/>
      </rPr>
      <t>tw</t>
    </r>
  </si>
  <si>
    <r>
      <t>q</t>
    </r>
    <r>
      <rPr>
        <b/>
        <vertAlign val="subscript"/>
        <sz val="14"/>
        <rFont val="Arial"/>
        <family val="2"/>
      </rPr>
      <t>h,L</t>
    </r>
  </si>
  <si>
    <r>
      <t>q</t>
    </r>
    <r>
      <rPr>
        <b/>
        <vertAlign val="subscript"/>
        <sz val="14"/>
        <rFont val="Arial"/>
        <family val="2"/>
      </rPr>
      <t>H,ce</t>
    </r>
  </si>
  <si>
    <r>
      <t>q</t>
    </r>
    <r>
      <rPr>
        <b/>
        <vertAlign val="subscript"/>
        <sz val="14"/>
        <rFont val="Arial"/>
        <family val="2"/>
      </rPr>
      <t>H,d</t>
    </r>
  </si>
  <si>
    <r>
      <t>q</t>
    </r>
    <r>
      <rPr>
        <b/>
        <vertAlign val="subscript"/>
        <sz val="14"/>
        <rFont val="Arial"/>
        <family val="2"/>
      </rPr>
      <t>H,s</t>
    </r>
  </si>
  <si>
    <r>
      <t>S</t>
    </r>
    <r>
      <rPr>
        <b/>
        <sz val="14"/>
        <rFont val="Arial"/>
        <family val="2"/>
      </rPr>
      <t xml:space="preserve"> q</t>
    </r>
    <r>
      <rPr>
        <b/>
        <vertAlign val="subscript"/>
        <sz val="14"/>
        <rFont val="Arial"/>
        <family val="2"/>
      </rPr>
      <t>H</t>
    </r>
    <r>
      <rPr>
        <b/>
        <sz val="14"/>
        <rFont val="Arial"/>
        <family val="2"/>
      </rPr>
      <t xml:space="preserve"> </t>
    </r>
  </si>
  <si>
    <r>
      <t>a</t>
    </r>
    <r>
      <rPr>
        <b/>
        <vertAlign val="subscript"/>
        <sz val="14"/>
        <rFont val="Arial"/>
        <family val="2"/>
      </rPr>
      <t>H,g</t>
    </r>
  </si>
  <si>
    <r>
      <t>e</t>
    </r>
    <r>
      <rPr>
        <b/>
        <vertAlign val="subscript"/>
        <sz val="14"/>
        <rFont val="Arial"/>
        <family val="2"/>
      </rPr>
      <t>H,g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</si>
  <si>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bscript"/>
        <sz val="14"/>
        <rFont val="Arial"/>
        <family val="2"/>
      </rPr>
      <t>g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>g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</si>
  <si>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</si>
  <si>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H,E</t>
    </r>
    <r>
      <rPr>
        <b/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</si>
  <si>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H,P</t>
    </r>
    <r>
      <rPr>
        <b/>
        <sz val="14"/>
        <rFont val="Arial"/>
        <family val="2"/>
      </rPr>
      <t xml:space="preserve"> =</t>
    </r>
  </si>
  <si>
    <t>Wärme (nur EIN Wärmestrang):</t>
  </si>
  <si>
    <t>Hilfsenergie (nur EIN Wärmestrang):</t>
  </si>
  <si>
    <r>
      <t>q</t>
    </r>
    <r>
      <rPr>
        <b/>
        <vertAlign val="subscript"/>
        <sz val="14"/>
        <rFont val="Arial"/>
        <family val="2"/>
      </rPr>
      <t>H,ce,HE</t>
    </r>
  </si>
  <si>
    <r>
      <t>q</t>
    </r>
    <r>
      <rPr>
        <b/>
        <vertAlign val="subscript"/>
        <sz val="14"/>
        <rFont val="Arial"/>
        <family val="2"/>
      </rPr>
      <t>H,d,HE</t>
    </r>
  </si>
  <si>
    <r>
      <t>q</t>
    </r>
    <r>
      <rPr>
        <b/>
        <vertAlign val="subscript"/>
        <sz val="14"/>
        <rFont val="Arial"/>
        <family val="2"/>
      </rPr>
      <t>H,s,HE</t>
    </r>
  </si>
  <si>
    <r>
      <t>q</t>
    </r>
    <r>
      <rPr>
        <b/>
        <vertAlign val="subscript"/>
        <sz val="14"/>
        <rFont val="Arial"/>
        <family val="2"/>
      </rPr>
      <t>H,g,HE</t>
    </r>
  </si>
  <si>
    <r>
      <t>q</t>
    </r>
    <r>
      <rPr>
        <b/>
        <vertAlign val="subscript"/>
        <sz val="14"/>
        <rFont val="Arial"/>
        <family val="2"/>
      </rPr>
      <t>H,HE,E</t>
    </r>
    <r>
      <rPr>
        <b/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</si>
  <si>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H,HE,P</t>
    </r>
    <r>
      <rPr>
        <b/>
        <sz val="14"/>
        <rFont val="Arial"/>
        <family val="2"/>
      </rPr>
      <t xml:space="preserve"> =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</si>
  <si>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H,j,HE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</si>
  <si>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HE,E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</si>
  <si>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H,WE,E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</si>
  <si>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H,HE,E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</si>
  <si>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H,P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</si>
  <si>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</si>
  <si>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</si>
  <si>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h,TW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</si>
  <si>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h,H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</si>
  <si>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h,L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</si>
  <si>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WE1,E</t>
    </r>
  </si>
  <si>
    <r>
      <t>Q</t>
    </r>
    <r>
      <rPr>
        <vertAlign val="subscript"/>
        <sz val="14"/>
        <rFont val="Arial"/>
        <family val="2"/>
      </rPr>
      <t>WE2,E</t>
    </r>
  </si>
  <si>
    <r>
      <t>Q</t>
    </r>
    <r>
      <rPr>
        <vertAlign val="subscript"/>
        <sz val="14"/>
        <rFont val="Arial"/>
        <family val="2"/>
      </rPr>
      <t>WE3,E</t>
    </r>
  </si>
  <si>
    <r>
      <t>Q</t>
    </r>
    <r>
      <rPr>
        <vertAlign val="subscript"/>
        <sz val="14"/>
        <rFont val="Arial"/>
        <family val="2"/>
      </rPr>
      <t>WE1,P</t>
    </r>
  </si>
  <si>
    <r>
      <t>Q</t>
    </r>
    <r>
      <rPr>
        <vertAlign val="subscript"/>
        <sz val="14"/>
        <rFont val="Arial"/>
        <family val="2"/>
      </rPr>
      <t>WE2,P</t>
    </r>
  </si>
  <si>
    <r>
      <t>Q</t>
    </r>
    <r>
      <rPr>
        <vertAlign val="subscript"/>
        <sz val="14"/>
        <rFont val="Arial"/>
        <family val="2"/>
      </rPr>
      <t>WE3,P</t>
    </r>
  </si>
  <si>
    <r>
      <t>Anlagen-Aufwandszahl e</t>
    </r>
    <r>
      <rPr>
        <b/>
        <vertAlign val="subscript"/>
        <sz val="14"/>
        <rFont val="Arial"/>
        <family val="2"/>
      </rPr>
      <t>P</t>
    </r>
    <r>
      <rPr>
        <b/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</si>
  <si>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/ (Q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+ 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>) =</t>
    </r>
  </si>
  <si>
    <r>
      <t>Q</t>
    </r>
    <r>
      <rPr>
        <vertAlign val="subscript"/>
        <sz val="14"/>
        <rFont val="Arial"/>
        <family val="2"/>
      </rPr>
      <t>HE,E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</si>
  <si>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HE,P</t>
    </r>
    <r>
      <rPr>
        <sz val="14"/>
        <rFont val="Arial"/>
        <family val="2"/>
      </rPr>
      <t xml:space="preserve"> =</t>
    </r>
  </si>
  <si>
    <t>TRINKWASSERERWÄRMUNG Referenzgebäude:</t>
  </si>
  <si>
    <t>HEIZUNG des Referenzgebäudes:</t>
  </si>
  <si>
    <t>ANLAGENBEWERTUNG Referenzgebäude:</t>
  </si>
  <si>
    <t>indirekt beheizter Pufferspeicher</t>
  </si>
  <si>
    <t>zentral (s.u. bei der Heizung)</t>
  </si>
  <si>
    <t>indirekt beheizter Kombispeicher (s.u.)</t>
  </si>
  <si>
    <t>Biomasse-Wärmeerzeuger mit Pellet-Feuerung</t>
  </si>
  <si>
    <t>(Tab. C.3-4f)</t>
  </si>
  <si>
    <t>(Tab. C.3-4g)</t>
  </si>
  <si>
    <r>
      <t xml:space="preserve">Jahres-Endenergiebedarf </t>
    </r>
    <r>
      <rPr>
        <b/>
        <sz val="14"/>
        <color indexed="12"/>
        <rFont val="Arial"/>
        <family val="2"/>
      </rPr>
      <t>Q</t>
    </r>
    <r>
      <rPr>
        <b/>
        <vertAlign val="subscript"/>
        <sz val="14"/>
        <color indexed="12"/>
        <rFont val="Arial"/>
        <family val="2"/>
      </rPr>
      <t>E,ref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</si>
  <si>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 xml:space="preserve">Jahres-Primärenergiebedarf </t>
    </r>
    <r>
      <rPr>
        <b/>
        <sz val="14"/>
        <color indexed="12"/>
        <rFont val="Arial"/>
        <family val="2"/>
      </rPr>
      <t>Q</t>
    </r>
    <r>
      <rPr>
        <b/>
        <vertAlign val="subscript"/>
        <sz val="14"/>
        <color indexed="12"/>
        <rFont val="Arial"/>
        <family val="2"/>
      </rPr>
      <t>P,ref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</si>
  <si>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t>Heizöl EL</t>
  </si>
  <si>
    <r>
      <t>Jahres-Endenergiebedarf Q</t>
    </r>
    <r>
      <rPr>
        <b/>
        <vertAlign val="subscript"/>
        <sz val="14"/>
        <rFont val="Arial"/>
        <family val="2"/>
      </rPr>
      <t>E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</si>
  <si>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>Jahres-Primärenergiebedarf Q</t>
    </r>
    <r>
      <rPr>
        <b/>
        <vertAlign val="subscript"/>
        <sz val="14"/>
        <rFont val="Arial"/>
        <family val="2"/>
      </rPr>
      <t>P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</si>
  <si>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>bez. Jahres-Primärenergiebedarf q</t>
    </r>
    <r>
      <rPr>
        <b/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[kWh/(m² a)] =</t>
    </r>
  </si>
  <si>
    <r>
      <t>Anlagen-Aufwandszahl</t>
    </r>
    <r>
      <rPr>
        <b/>
        <sz val="14"/>
        <color indexed="12"/>
        <rFont val="Arial"/>
        <family val="2"/>
      </rPr>
      <t xml:space="preserve"> e</t>
    </r>
    <r>
      <rPr>
        <b/>
        <vertAlign val="subscript"/>
        <sz val="14"/>
        <color indexed="12"/>
        <rFont val="Arial"/>
        <family val="2"/>
      </rPr>
      <t>P,ref</t>
    </r>
    <r>
      <rPr>
        <b/>
        <sz val="14"/>
        <rFont val="Arial"/>
        <family val="2"/>
      </rPr>
      <t xml:space="preserve"> =</t>
    </r>
  </si>
  <si>
    <t>Holzpellets</t>
  </si>
  <si>
    <t>Aufgabe:</t>
  </si>
  <si>
    <t>Bauteile:</t>
  </si>
  <si>
    <t>-   die Außenwände bestehen aus zweischaligem Mauerwerk mit</t>
  </si>
  <si>
    <t>-   die erdberührten Außenwände bestehen aus Mauerwerk mit Perimeter­</t>
  </si>
  <si>
    <t>-   die Kellerdecke zum unbeheizten Keller sei unterseitig gedämmt mit</t>
  </si>
  <si>
    <t>-   die Wand zum Raum mit wesentlich niedrigerer Innentemperatur im KG</t>
  </si>
  <si>
    <t>-   die Tür in dieser Wand bestehe aus Holz/Holzwerkstoff/Kunststoff.</t>
  </si>
  <si>
    <t>-   zur Wärmeübergabe sind Radiatoren mit Thermostatventilen (Proportionalbereich 1 K)</t>
  </si>
  <si>
    <t xml:space="preserve">    vorgesehen.</t>
  </si>
  <si>
    <t xml:space="preserve">Die Trinkwassererwärmung </t>
  </si>
  <si>
    <t xml:space="preserve">    und mit einer Zirkulationsleitung versehen sein,</t>
  </si>
  <si>
    <t>-   die Trinkwasserspeicherung erfolgt in einem indirekt beheizten Speicher</t>
  </si>
  <si>
    <t>Eine Lüftungsanlage ist nicht vorgesehen.</t>
  </si>
  <si>
    <t>Der unbeheizte Glasvorbau sei verglast mit einer Wärmeschutzverglasung.</t>
  </si>
  <si>
    <t xml:space="preserve">Die Heizungsanlage besteht </t>
  </si>
  <si>
    <t xml:space="preserve">-   aus einem Biomasse-Wärmeerzeuger (Holzpelletheizung) innerhalb der thermischen </t>
  </si>
  <si>
    <t xml:space="preserve">    Hülle mit direkter und indirekter Wärmeabgabe bei Vor-/Rücklauftemperaturen von</t>
  </si>
  <si>
    <t xml:space="preserve">    70°C/55 °C ohne Solarunterstützung,</t>
  </si>
  <si>
    <t>-   es wird ein Pufferspeicher vorgesehen, er sei indirekt beheizt und innerhalb der</t>
  </si>
  <si>
    <t xml:space="preserve">    thermischen Hülle aufgestellt;</t>
  </si>
  <si>
    <t>-   die Wärmeverteilung erfolgt innerhalb der thermischen Hülle mit Hlfe einer</t>
  </si>
  <si>
    <t xml:space="preserve">    geregelten Pumpe,</t>
  </si>
  <si>
    <t>-   soll innerhalb der thermischen Hülle zentral durch die Heizanlage erfolgen</t>
  </si>
  <si>
    <t xml:space="preserve">    innerhalb der thermischen Hülle.</t>
  </si>
  <si>
    <t>Gl.</t>
  </si>
  <si>
    <t>(5.9)</t>
  </si>
  <si>
    <t>G1 = f</t>
  </si>
  <si>
    <t>G2 = bf</t>
  </si>
  <si>
    <t>G3 = bw</t>
  </si>
  <si>
    <t>(2.47)</t>
  </si>
  <si>
    <t>(5.8)</t>
  </si>
  <si>
    <t>(Tab.</t>
  </si>
  <si>
    <t>(5.18)</t>
  </si>
  <si>
    <t>(5.20)</t>
  </si>
  <si>
    <t>(5.22)</t>
  </si>
  <si>
    <t>(5.25)</t>
  </si>
  <si>
    <t>(5.26)</t>
  </si>
  <si>
    <t>(5.27)</t>
  </si>
  <si>
    <t>(5.29)</t>
  </si>
  <si>
    <t>(5.30)</t>
  </si>
  <si>
    <t>(5.31)</t>
  </si>
  <si>
    <t>(5.32)</t>
  </si>
  <si>
    <t>(5.33)</t>
  </si>
  <si>
    <t>(5.7)</t>
  </si>
  <si>
    <t>(5.34)</t>
  </si>
  <si>
    <t>(5.41)</t>
  </si>
  <si>
    <t>(5.4)</t>
  </si>
  <si>
    <t>(5.1)</t>
  </si>
  <si>
    <t>(5.64)</t>
  </si>
  <si>
    <t>(5.56)</t>
  </si>
  <si>
    <t>(5.61)</t>
  </si>
  <si>
    <t>(5.57)</t>
  </si>
  <si>
    <t>(5.67)</t>
  </si>
  <si>
    <t>(5.63)</t>
  </si>
  <si>
    <t>(5.59)</t>
  </si>
  <si>
    <t>(5.71)</t>
  </si>
  <si>
    <t>(5.72)</t>
  </si>
  <si>
    <t>(5.73)</t>
  </si>
  <si>
    <t>mit Ventilator/elektrischer Zündung, direkte und indirekte</t>
  </si>
  <si>
    <t>nb1 (T)</t>
  </si>
  <si>
    <t>mit/ohne Luftdichtheitsprüfg./Abluftanlage</t>
  </si>
  <si>
    <t>n =</t>
  </si>
  <si>
    <t>(mit Luftdichtheitsprüfg.)</t>
  </si>
  <si>
    <r>
      <t>n</t>
    </r>
    <r>
      <rPr>
        <b/>
        <vertAlign val="subscript"/>
        <sz val="14"/>
        <color indexed="12"/>
        <rFont val="Arial"/>
        <family val="2"/>
      </rPr>
      <t>ref</t>
    </r>
    <r>
      <rPr>
        <b/>
        <sz val="14"/>
        <color indexed="12"/>
        <rFont val="Arial"/>
        <family val="2"/>
      </rPr>
      <t xml:space="preserve"> =</t>
    </r>
  </si>
  <si>
    <r>
      <t>bez. Jahres-Endenergiebedarf q</t>
    </r>
    <r>
      <rPr>
        <b/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[kWh/(m² a)] =</t>
    </r>
  </si>
  <si>
    <r>
      <t>Q</t>
    </r>
    <r>
      <rPr>
        <b/>
        <vertAlign val="subscript"/>
        <sz val="14"/>
        <rFont val="Arial"/>
        <family val="2"/>
      </rPr>
      <t>S,M</t>
    </r>
    <r>
      <rPr>
        <b/>
        <sz val="14"/>
        <rFont val="Arial"/>
        <family val="2"/>
      </rPr>
      <t xml:space="preserve"> [kWh]</t>
    </r>
  </si>
  <si>
    <r>
      <t xml:space="preserve">= 0,024 * 0,567 * </t>
    </r>
    <r>
      <rPr>
        <sz val="14"/>
        <rFont val="Calibri"/>
        <family val="2"/>
      </rPr>
      <t>Σ</t>
    </r>
    <r>
      <rPr>
        <sz val="14"/>
        <rFont val="Arial"/>
        <family val="2"/>
      </rPr>
      <t>(I</t>
    </r>
    <r>
      <rPr>
        <vertAlign val="subscript"/>
        <sz val="14"/>
        <rFont val="Arial"/>
        <family val="2"/>
      </rPr>
      <t>s,j,M</t>
    </r>
    <r>
      <rPr>
        <sz val="14"/>
        <rFont val="Arial"/>
        <family val="2"/>
      </rPr>
      <t xml:space="preserve"> * g</t>
    </r>
    <r>
      <rPr>
        <vertAlign val="subscript"/>
        <sz val="14"/>
        <rFont val="Arial"/>
        <family val="2"/>
      </rPr>
      <t>j</t>
    </r>
    <r>
      <rPr>
        <sz val="14"/>
        <rFont val="Arial"/>
        <family val="2"/>
      </rPr>
      <t xml:space="preserve"> * A</t>
    </r>
    <r>
      <rPr>
        <vertAlign val="subscript"/>
        <sz val="14"/>
        <rFont val="Arial"/>
        <family val="2"/>
      </rPr>
      <t>s,j</t>
    </r>
    <r>
      <rPr>
        <sz val="14"/>
        <rFont val="Arial"/>
        <family val="2"/>
      </rPr>
      <t xml:space="preserve"> ) *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=</t>
    </r>
  </si>
  <si>
    <t>Brennwertkessel verbessert innerhalb thermischer Hülle</t>
  </si>
  <si>
    <t>Wärmebedarf für Transmission und Lüftung</t>
  </si>
  <si>
    <r>
      <t>-         g = g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= 0,50 nach EN 410;</t>
    </r>
  </si>
  <si>
    <r>
      <t xml:space="preserve">    U</t>
    </r>
    <r>
      <rPr>
        <vertAlign val="subscript"/>
        <sz val="10"/>
        <rFont val="Arial"/>
        <family val="2"/>
      </rPr>
      <t>AW</t>
    </r>
    <r>
      <rPr>
        <sz val="10"/>
        <rFont val="Arial"/>
        <family val="2"/>
      </rPr>
      <t xml:space="preserve"> = 0,20 W/(m² · K),</t>
    </r>
  </si>
  <si>
    <r>
      <t>-   das Flachdach sei hochgedämmt mit U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 xml:space="preserve"> = 0,13 W/(m² · K),</t>
    </r>
  </si>
  <si>
    <t xml:space="preserve">Alle Wärmebrücken sollen DIN 4108 Beiblatt 2 (Kategorie A) genügen oder als gleichwertig </t>
  </si>
  <si>
    <t>nachgewiesen sein. Es soll eine Luftdichtheitsprüfung durchgeführt werden.</t>
  </si>
  <si>
    <t>von fester Biomasse werden durch die gewählte Holzpelletheizung für Heizung und Trinkwasser-</t>
  </si>
  <si>
    <t>Wärmedurchlasswiderstand d. betracht.</t>
  </si>
  <si>
    <t>KG-Sohle:</t>
  </si>
  <si>
    <t>KG-Decke:</t>
  </si>
  <si>
    <r>
      <t>Bauteils R</t>
    </r>
    <r>
      <rPr>
        <sz val="14"/>
        <rFont val="Arial"/>
        <family val="2"/>
      </rPr>
      <t xml:space="preserve"> = 1/U - R</t>
    </r>
    <r>
      <rPr>
        <vertAlign val="subscript"/>
        <sz val="14"/>
        <rFont val="Arial"/>
        <family val="2"/>
      </rPr>
      <t xml:space="preserve">si </t>
    </r>
    <r>
      <rPr>
        <sz val="14"/>
        <rFont val="Arial"/>
        <family val="2"/>
      </rPr>
      <t>- R</t>
    </r>
    <r>
      <rPr>
        <vertAlign val="subscript"/>
        <sz val="14"/>
        <rFont val="Arial"/>
        <family val="2"/>
      </rPr>
      <t>se</t>
    </r>
  </si>
  <si>
    <r>
      <t>*)      U</t>
    </r>
    <r>
      <rPr>
        <b/>
        <vertAlign val="subscript"/>
        <sz val="14"/>
        <rFont val="Arial"/>
        <family val="2"/>
      </rPr>
      <t>D</t>
    </r>
    <r>
      <rPr>
        <b/>
        <sz val="14"/>
        <rFont val="Arial"/>
        <family val="2"/>
      </rPr>
      <t xml:space="preserve"> = 1,8</t>
    </r>
  </si>
  <si>
    <t>W/(m² K) für Holz-/Kunststofftür bzw. Einschubtreppe o.w.N.</t>
  </si>
  <si>
    <t>Temperatur-Korrekturfaktoren für das Referenzgebäude</t>
  </si>
  <si>
    <t>2,69 / 2,73</t>
  </si>
  <si>
    <t>mit Erdgas betrieben</t>
  </si>
  <si>
    <t>(5.65a)</t>
  </si>
  <si>
    <t>(5.65b)</t>
  </si>
  <si>
    <r>
      <t>Bodengrundfläche A</t>
    </r>
    <r>
      <rPr>
        <vertAlign val="subscript"/>
        <sz val="14"/>
        <rFont val="Arial"/>
        <family val="2"/>
      </rPr>
      <t>G</t>
    </r>
  </si>
  <si>
    <t>Umfang d. Grundfläche P</t>
  </si>
  <si>
    <r>
      <t>Kenngr. B' = A</t>
    </r>
    <r>
      <rPr>
        <vertAlign val="subscript"/>
        <sz val="14"/>
        <rFont val="Arial"/>
        <family val="2"/>
      </rPr>
      <t>G</t>
    </r>
    <r>
      <rPr>
        <sz val="14"/>
        <rFont val="Arial"/>
        <family val="2"/>
      </rPr>
      <t xml:space="preserve"> / (0,5 * P)</t>
    </r>
  </si>
  <si>
    <t>Nachweis eines Reihenendhauses gemäß GEG 2023</t>
  </si>
  <si>
    <t>gemäß GEG 2023 mit DIN V 4108-6 und DIN V 4701-10 zu führen.</t>
  </si>
  <si>
    <t xml:space="preserve">-   Die Fenster und die Außentür werden dreifach verglast angesetzt mit </t>
  </si>
  <si>
    <r>
      <t>-         U</t>
    </r>
    <r>
      <rPr>
        <vertAlign val="subscript"/>
        <sz val="10"/>
        <rFont val="Arial"/>
        <family val="2"/>
      </rPr>
      <t>w,BW</t>
    </r>
    <r>
      <rPr>
        <sz val="10"/>
        <rFont val="Arial"/>
        <family val="2"/>
      </rPr>
      <t xml:space="preserve"> = 0,74 W/(m² · K) und</t>
    </r>
  </si>
  <si>
    <r>
      <t xml:space="preserve">    dämmung mit U</t>
    </r>
    <r>
      <rPr>
        <vertAlign val="subscript"/>
        <sz val="10"/>
        <rFont val="Arial"/>
        <family val="2"/>
      </rPr>
      <t>G1</t>
    </r>
    <r>
      <rPr>
        <sz val="10"/>
        <rFont val="Arial"/>
        <family val="2"/>
      </rPr>
      <t xml:space="preserve"> = 0,21 W/(m² · K),</t>
    </r>
  </si>
  <si>
    <r>
      <t xml:space="preserve">    U</t>
    </r>
    <r>
      <rPr>
        <vertAlign val="subscript"/>
        <sz val="10"/>
        <rFont val="Arial"/>
        <family val="2"/>
      </rPr>
      <t>G2</t>
    </r>
    <r>
      <rPr>
        <sz val="10"/>
        <rFont val="Arial"/>
        <family val="2"/>
      </rPr>
      <t xml:space="preserve"> = 0,20 W/(m² · K),</t>
    </r>
  </si>
  <si>
    <r>
      <t>-   die Kellersohle unter dem beheizten Keller habe U</t>
    </r>
    <r>
      <rPr>
        <vertAlign val="subscript"/>
        <sz val="10"/>
        <rFont val="Arial"/>
        <family val="2"/>
      </rPr>
      <t>G3</t>
    </r>
    <r>
      <rPr>
        <sz val="10"/>
        <rFont val="Arial"/>
        <family val="2"/>
      </rPr>
      <t xml:space="preserve"> = 0,19 W/(m² · K),</t>
    </r>
  </si>
  <si>
    <r>
      <t>-   die Decke nach unten gegen Außenluft habe U</t>
    </r>
    <r>
      <rPr>
        <vertAlign val="subscript"/>
        <sz val="10"/>
        <rFont val="Arial"/>
        <family val="2"/>
      </rPr>
      <t>DL</t>
    </r>
    <r>
      <rPr>
        <sz val="10"/>
        <rFont val="Arial"/>
        <family val="2"/>
      </rPr>
      <t xml:space="preserve"> = 0,21 W/(m² · K),</t>
    </r>
  </si>
  <si>
    <r>
      <t xml:space="preserve">    sei auf der Kaltseite gedämmt mit U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 = 0,30 W/(m² · K) und</t>
    </r>
  </si>
  <si>
    <t>Besondere Anforderungen an die Nutzung erneuerbarer Energien</t>
  </si>
  <si>
    <t>4,54 / 5,20</t>
  </si>
  <si>
    <r>
      <t>H'</t>
    </r>
    <r>
      <rPr>
        <b/>
        <vertAlign val="subscript"/>
        <sz val="14"/>
        <color rgb="FF0000FF"/>
        <rFont val="Arial"/>
        <family val="2"/>
      </rPr>
      <t>T,ref</t>
    </r>
  </si>
  <si>
    <r>
      <t>H'</t>
    </r>
    <r>
      <rPr>
        <b/>
        <vertAlign val="subscript"/>
        <sz val="14"/>
        <color indexed="12"/>
        <rFont val="Arial"/>
        <family val="2"/>
      </rPr>
      <t>T,max</t>
    </r>
  </si>
  <si>
    <r>
      <t xml:space="preserve">0,70 </t>
    </r>
    <r>
      <rPr>
        <sz val="14"/>
        <color indexed="12"/>
        <rFont val="Symbol"/>
        <family val="1"/>
        <charset val="2"/>
      </rPr>
      <t>×</t>
    </r>
    <r>
      <rPr>
        <sz val="18.2"/>
        <color indexed="12"/>
        <rFont val="Arial"/>
        <family val="2"/>
      </rPr>
      <t xml:space="preserve"> 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T,ref</t>
    </r>
    <r>
      <rPr>
        <sz val="14"/>
        <color indexed="12"/>
        <rFont val="Arial"/>
        <family val="2"/>
      </rPr>
      <t xml:space="preserve"> / A =</t>
    </r>
  </si>
  <si>
    <t>ist der Nachweis nach GEG 2023 erfüllt!</t>
  </si>
  <si>
    <r>
      <rPr>
        <b/>
        <sz val="14"/>
        <rFont val="Arial"/>
        <family val="2"/>
      </rPr>
      <t>innerhalb</t>
    </r>
    <r>
      <rPr>
        <sz val="14"/>
        <rFont val="Arial"/>
        <family val="2"/>
      </rPr>
      <t xml:space="preserve"> thermischer Hülle</t>
    </r>
  </si>
  <si>
    <r>
      <t xml:space="preserve">horizontale Verteilung </t>
    </r>
    <r>
      <rPr>
        <b/>
        <sz val="14"/>
        <rFont val="Arial"/>
        <family val="2"/>
      </rPr>
      <t xml:space="preserve">innerhalb </t>
    </r>
    <r>
      <rPr>
        <sz val="14"/>
        <rFont val="Arial"/>
        <family val="2"/>
      </rPr>
      <t>thermischer Hülle</t>
    </r>
  </si>
  <si>
    <r>
      <t>vertikale Verteilungsstränge</t>
    </r>
    <r>
      <rPr>
        <b/>
        <sz val="14"/>
        <rFont val="Arial"/>
        <family val="2"/>
      </rPr>
      <t xml:space="preserve"> innerhalb</t>
    </r>
    <r>
      <rPr>
        <sz val="14"/>
        <rFont val="Arial"/>
        <family val="2"/>
      </rPr>
      <t xml:space="preserve"> thermischer Hülle</t>
    </r>
  </si>
  <si>
    <r>
      <rPr>
        <b/>
        <sz val="14"/>
        <rFont val="Arial"/>
        <family val="2"/>
      </rPr>
      <t>innerhalb</t>
    </r>
    <r>
      <rPr>
        <sz val="14"/>
        <rFont val="Arial"/>
        <family val="2"/>
      </rPr>
      <t xml:space="preserve"> der thermischen Hülle</t>
    </r>
  </si>
  <si>
    <r>
      <t>Mit q</t>
    </r>
    <r>
      <rPr>
        <b/>
        <vertAlign val="subscript"/>
        <sz val="16"/>
        <color indexed="17"/>
        <rFont val="Arial"/>
        <family val="2"/>
      </rPr>
      <t>P,real</t>
    </r>
    <r>
      <rPr>
        <b/>
        <sz val="16"/>
        <color indexed="17"/>
        <rFont val="Arial"/>
        <family val="2"/>
      </rPr>
      <t xml:space="preserve"> = 32,74 kWh/(m² a) ≤ 43,02 kWh/(m² a) = q</t>
    </r>
    <r>
      <rPr>
        <b/>
        <vertAlign val="subscript"/>
        <sz val="16"/>
        <color indexed="17"/>
        <rFont val="Arial"/>
        <family val="2"/>
      </rPr>
      <t>P,max</t>
    </r>
    <r>
      <rPr>
        <b/>
        <sz val="16"/>
        <color indexed="17"/>
        <rFont val="Arial"/>
        <family val="2"/>
      </rPr>
      <t xml:space="preserve"> = 0,55 </t>
    </r>
    <r>
      <rPr>
        <b/>
        <sz val="16"/>
        <color indexed="17"/>
        <rFont val="Symbol"/>
        <family val="1"/>
        <charset val="2"/>
      </rPr>
      <t>×</t>
    </r>
    <r>
      <rPr>
        <b/>
        <sz val="16"/>
        <color indexed="17"/>
        <rFont val="Arial"/>
        <family val="2"/>
      </rPr>
      <t xml:space="preserve"> q</t>
    </r>
    <r>
      <rPr>
        <b/>
        <vertAlign val="subscript"/>
        <sz val="16"/>
        <color indexed="17"/>
        <rFont val="Arial"/>
        <family val="2"/>
      </rPr>
      <t>P,ref</t>
    </r>
  </si>
  <si>
    <r>
      <t xml:space="preserve">bez. Jahres-Primärenergiebedarf </t>
    </r>
    <r>
      <rPr>
        <b/>
        <sz val="14"/>
        <color rgb="FF0F17B1"/>
        <rFont val="Arial"/>
        <family val="2"/>
      </rPr>
      <t>q</t>
    </r>
    <r>
      <rPr>
        <b/>
        <vertAlign val="subscript"/>
        <sz val="14"/>
        <color rgb="FF0F17B1"/>
        <rFont val="Arial"/>
        <family val="2"/>
      </rPr>
      <t>P,ref</t>
    </r>
    <r>
      <rPr>
        <sz val="14"/>
        <rFont val="Arial"/>
        <family val="2"/>
      </rPr>
      <t xml:space="preserve"> [kWh/(m² a)] =</t>
    </r>
  </si>
  <si>
    <r>
      <t>Mit H'</t>
    </r>
    <r>
      <rPr>
        <b/>
        <vertAlign val="subscript"/>
        <sz val="16"/>
        <color indexed="17"/>
        <rFont val="Arial"/>
        <family val="2"/>
      </rPr>
      <t>T,real</t>
    </r>
    <r>
      <rPr>
        <b/>
        <sz val="16"/>
        <color indexed="17"/>
        <rFont val="Arial"/>
        <family val="2"/>
      </rPr>
      <t xml:space="preserve"> = 0,257 W/(m² K) </t>
    </r>
    <r>
      <rPr>
        <b/>
        <sz val="16"/>
        <color indexed="17"/>
        <rFont val="Calibri"/>
        <family val="2"/>
      </rPr>
      <t>≤</t>
    </r>
    <r>
      <rPr>
        <b/>
        <sz val="16"/>
        <color indexed="17"/>
        <rFont val="Arial"/>
        <family val="2"/>
      </rPr>
      <t xml:space="preserve"> 0,258 W/(m² K) = 0,70 </t>
    </r>
    <r>
      <rPr>
        <b/>
        <sz val="16"/>
        <color indexed="17"/>
        <rFont val="Symbol"/>
        <family val="1"/>
        <charset val="2"/>
      </rPr>
      <t>×</t>
    </r>
    <r>
      <rPr>
        <b/>
        <sz val="20.8"/>
        <color indexed="17"/>
        <rFont val="Arial"/>
        <family val="2"/>
      </rPr>
      <t xml:space="preserve"> </t>
    </r>
    <r>
      <rPr>
        <b/>
        <sz val="16"/>
        <color indexed="17"/>
        <rFont val="Arial"/>
        <family val="2"/>
      </rPr>
      <t>H'</t>
    </r>
    <r>
      <rPr>
        <b/>
        <vertAlign val="subscript"/>
        <sz val="16"/>
        <color indexed="17"/>
        <rFont val="Arial"/>
        <family val="2"/>
      </rPr>
      <t>T,ref</t>
    </r>
    <r>
      <rPr>
        <b/>
        <sz val="16"/>
        <color indexed="17"/>
        <rFont val="Arial"/>
        <family val="2"/>
      </rPr>
      <t xml:space="preserve"> = H´</t>
    </r>
    <r>
      <rPr>
        <b/>
        <vertAlign val="subscript"/>
        <sz val="16"/>
        <color indexed="17"/>
        <rFont val="Arial"/>
        <family val="2"/>
      </rPr>
      <t>T,max</t>
    </r>
  </si>
  <si>
    <t>Für das dargestellte Reihenendhausist der Nachweis des Gesamtenergiebedarfs</t>
  </si>
  <si>
    <r>
      <t xml:space="preserve">erwärmung erfüllt – der Kesselwirkungsgrad ist vom Hersteller mit </t>
    </r>
    <r>
      <rPr>
        <i/>
        <sz val="10"/>
        <rFont val="Symbol"/>
        <family val="1"/>
        <charset val="2"/>
      </rPr>
      <t>h</t>
    </r>
    <r>
      <rPr>
        <sz val="10"/>
        <rFont val="Arial"/>
        <family val="2"/>
      </rPr>
      <t xml:space="preserve"> ≥ 89 % nachzuweisen.</t>
    </r>
  </si>
  <si>
    <r>
      <t>Mit H'</t>
    </r>
    <r>
      <rPr>
        <b/>
        <vertAlign val="subscript"/>
        <sz val="16"/>
        <color indexed="17"/>
        <rFont val="Arial"/>
        <family val="2"/>
      </rPr>
      <t>T,real</t>
    </r>
    <r>
      <rPr>
        <b/>
        <sz val="16"/>
        <color indexed="17"/>
        <rFont val="Arial"/>
        <family val="2"/>
      </rPr>
      <t xml:space="preserve"> = 0,257 W/(m² K) </t>
    </r>
    <r>
      <rPr>
        <b/>
        <sz val="16"/>
        <color indexed="17"/>
        <rFont val="Calibri"/>
        <family val="2"/>
      </rPr>
      <t>≤</t>
    </r>
    <r>
      <rPr>
        <b/>
        <sz val="16"/>
        <color indexed="17"/>
        <rFont val="Arial"/>
        <family val="2"/>
      </rPr>
      <t xml:space="preserve"> 0,369 W/(m² K) = </t>
    </r>
    <r>
      <rPr>
        <b/>
        <sz val="16"/>
        <color indexed="17"/>
        <rFont val="Arial"/>
        <family val="2"/>
      </rPr>
      <t>H'</t>
    </r>
    <r>
      <rPr>
        <b/>
        <vertAlign val="subscript"/>
        <sz val="16"/>
        <color indexed="17"/>
        <rFont val="Arial"/>
        <family val="2"/>
      </rPr>
      <t>T,ref</t>
    </r>
    <r>
      <rPr>
        <b/>
        <sz val="16"/>
        <color indexed="17"/>
        <rFont val="Arial"/>
        <family val="2"/>
      </rPr>
      <t xml:space="preserve"> = H´</t>
    </r>
    <r>
      <rPr>
        <b/>
        <vertAlign val="subscript"/>
        <sz val="16"/>
        <color indexed="17"/>
        <rFont val="Arial"/>
        <family val="2"/>
      </rPr>
      <t>T,max</t>
    </r>
  </si>
  <si>
    <t>(5.5)</t>
  </si>
  <si>
    <t>(5.3)</t>
  </si>
  <si>
    <t>(5.35)</t>
  </si>
  <si>
    <t>(5.36)</t>
  </si>
  <si>
    <t>(5.37)</t>
  </si>
  <si>
    <t>(5.38)</t>
  </si>
  <si>
    <t>(5.39)</t>
  </si>
  <si>
    <t>(5.40)</t>
  </si>
  <si>
    <t>(5.21)</t>
  </si>
  <si>
    <t>(5.48)</t>
  </si>
  <si>
    <t>(5.53)</t>
  </si>
  <si>
    <t>(5.51)</t>
  </si>
  <si>
    <t>(5.52)</t>
  </si>
  <si>
    <t>(5.49)</t>
  </si>
  <si>
    <t>5.18)</t>
  </si>
  <si>
    <t>(5.56b)</t>
  </si>
  <si>
    <t>(5.55)</t>
  </si>
  <si>
    <t xml:space="preserve">Beispiel 5.7: Biomasse-Heizung </t>
  </si>
  <si>
    <r>
      <t xml:space="preserve">Diese Anforderungen werden gemäß Tabelle 5.5 mit einem Deckungsanteil von </t>
    </r>
    <r>
      <rPr>
        <sz val="10"/>
        <rFont val="Symbol"/>
        <family val="1"/>
        <charset val="2"/>
      </rPr>
      <t>³</t>
    </r>
    <r>
      <rPr>
        <sz val="10"/>
        <rFont val="Arial"/>
        <family val="2"/>
      </rPr>
      <t xml:space="preserve"> 50 % beim Einsatz </t>
    </r>
  </si>
  <si>
    <t>wäre auch der Nachweis für ein früheres KfW-Effizienzhaus 55 erfüllt!</t>
  </si>
  <si>
    <r>
      <t xml:space="preserve">Vor-/Rücklauf </t>
    </r>
    <r>
      <rPr>
        <b/>
        <sz val="14"/>
        <rFont val="Arial"/>
        <family val="2"/>
      </rPr>
      <t>70°/55° C</t>
    </r>
  </si>
  <si>
    <r>
      <t xml:space="preserve">Wärmeabgabe, </t>
    </r>
    <r>
      <rPr>
        <b/>
        <sz val="14"/>
        <rFont val="Arial"/>
        <family val="2"/>
      </rPr>
      <t>innerhalb</t>
    </r>
    <r>
      <rPr>
        <sz val="14"/>
        <rFont val="Arial"/>
        <family val="2"/>
      </rPr>
      <t xml:space="preserve"> der thermischen Hülle</t>
    </r>
  </si>
  <si>
    <t>(Buch-Tab. 5.22)</t>
  </si>
  <si>
    <r>
      <t>Jahres-Treibhauspot. GWP</t>
    </r>
    <r>
      <rPr>
        <sz val="12"/>
        <color rgb="FFC00000"/>
        <rFont val="Arial"/>
        <family val="2"/>
      </rPr>
      <t xml:space="preserve"> </t>
    </r>
    <r>
      <rPr>
        <sz val="14"/>
        <color rgb="FFC00000"/>
        <rFont val="Arial"/>
        <family val="2"/>
      </rPr>
      <t>[kg CO</t>
    </r>
    <r>
      <rPr>
        <vertAlign val="subscript"/>
        <sz val="14"/>
        <color rgb="FFC00000"/>
        <rFont val="Arial"/>
        <family val="2"/>
      </rPr>
      <t>2</t>
    </r>
    <r>
      <rPr>
        <sz val="14"/>
        <color rgb="FFC00000"/>
        <rFont val="Arial"/>
        <family val="2"/>
      </rPr>
      <t>-Äquiv./a] =</t>
    </r>
  </si>
  <si>
    <r>
      <t>bez. Jahres-Treibhauspot. GWP´</t>
    </r>
    <r>
      <rPr>
        <sz val="12"/>
        <color rgb="FFC00000"/>
        <rFont val="Arial"/>
        <family val="2"/>
      </rPr>
      <t xml:space="preserve"> [kg CO</t>
    </r>
    <r>
      <rPr>
        <vertAlign val="subscript"/>
        <sz val="12"/>
        <color rgb="FFC00000"/>
        <rFont val="Arial"/>
        <family val="2"/>
      </rPr>
      <t>2</t>
    </r>
    <r>
      <rPr>
        <sz val="12"/>
        <color rgb="FFC00000"/>
        <rFont val="Arial"/>
        <family val="2"/>
      </rPr>
      <t>/(m² a)] =</t>
    </r>
  </si>
  <si>
    <r>
      <t xml:space="preserve">max. Jahres-Primärenergiebedarf </t>
    </r>
    <r>
      <rPr>
        <b/>
        <sz val="14"/>
        <color rgb="FF0000FF"/>
        <rFont val="Arial"/>
        <family val="2"/>
      </rPr>
      <t>Q</t>
    </r>
    <r>
      <rPr>
        <b/>
        <vertAlign val="subscript"/>
        <sz val="14"/>
        <color rgb="FF0000FF"/>
        <rFont val="Arial"/>
        <family val="2"/>
      </rPr>
      <t>P,max</t>
    </r>
    <r>
      <rPr>
        <b/>
        <sz val="14"/>
        <color rgb="FF0000FF"/>
        <rFont val="Arial"/>
        <family val="2"/>
      </rPr>
      <t xml:space="preserve"> = 0,55 </t>
    </r>
    <r>
      <rPr>
        <b/>
        <sz val="14"/>
        <color rgb="FF0000FF"/>
        <rFont val="Symbol"/>
        <family val="1"/>
        <charset val="2"/>
      </rPr>
      <t>×</t>
    </r>
    <r>
      <rPr>
        <b/>
        <sz val="14"/>
        <color rgb="FF0000FF"/>
        <rFont val="Arial"/>
        <family val="2"/>
      </rPr>
      <t xml:space="preserve"> Q</t>
    </r>
    <r>
      <rPr>
        <b/>
        <vertAlign val="subscript"/>
        <sz val="14"/>
        <color rgb="FF0000FF"/>
        <rFont val="Arial"/>
        <family val="2"/>
      </rPr>
      <t>P,ref</t>
    </r>
    <r>
      <rPr>
        <vertAlign val="subscript"/>
        <sz val="14"/>
        <color rgb="FF0000FF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</si>
  <si>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 xml:space="preserve">bez. max. Jahres-Primärenergiebedarf </t>
    </r>
    <r>
      <rPr>
        <b/>
        <sz val="14"/>
        <color rgb="FF0000FF"/>
        <rFont val="Arial"/>
        <family val="2"/>
      </rPr>
      <t>q</t>
    </r>
    <r>
      <rPr>
        <b/>
        <vertAlign val="subscript"/>
        <sz val="14"/>
        <color rgb="FF0000FF"/>
        <rFont val="Arial"/>
        <family val="2"/>
      </rPr>
      <t xml:space="preserve">P,max </t>
    </r>
    <r>
      <rPr>
        <b/>
        <sz val="14"/>
        <color rgb="FF0000FF"/>
        <rFont val="Arial"/>
        <family val="2"/>
      </rPr>
      <t xml:space="preserve">= 0,55 </t>
    </r>
    <r>
      <rPr>
        <b/>
        <sz val="14"/>
        <color rgb="FF0000FF"/>
        <rFont val="Symbol"/>
        <family val="1"/>
        <charset val="2"/>
      </rPr>
      <t>×</t>
    </r>
    <r>
      <rPr>
        <b/>
        <sz val="14"/>
        <color rgb="FF0000FF"/>
        <rFont val="Arial"/>
        <family val="2"/>
      </rPr>
      <t xml:space="preserve"> q</t>
    </r>
    <r>
      <rPr>
        <b/>
        <vertAlign val="subscript"/>
        <sz val="14"/>
        <color rgb="FF0000FF"/>
        <rFont val="Arial"/>
        <family val="2"/>
      </rPr>
      <t>P,ref</t>
    </r>
    <r>
      <rPr>
        <sz val="14"/>
        <rFont val="Arial"/>
        <family val="2"/>
      </rPr>
      <t xml:space="preserve"> [kWh/(m² a)] =</t>
    </r>
  </si>
  <si>
    <t>(5.66a)</t>
  </si>
  <si>
    <t>(5.66b)</t>
  </si>
  <si>
    <t>(5.70a)</t>
  </si>
  <si>
    <t>(5.70b)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</si>
</sst>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;\-0.00;;"/>
  </numFmts>
  <fonts count="6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sz val="16"/>
      <color indexed="12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vertAlign val="subscript"/>
      <sz val="14"/>
      <name val="Arial"/>
      <family val="2"/>
    </font>
    <font>
      <b/>
      <vertAlign val="subscript"/>
      <sz val="14"/>
      <name val="Arial"/>
      <family val="2"/>
    </font>
    <font>
      <b/>
      <sz val="14"/>
      <name val="Symbol"/>
      <family val="1"/>
      <charset val="2"/>
    </font>
    <font>
      <b/>
      <vertAlign val="subscript"/>
      <sz val="14"/>
      <color indexed="12"/>
      <name val="Arial"/>
      <family val="2"/>
    </font>
    <font>
      <sz val="14"/>
      <name val="Symbol"/>
      <family val="1"/>
      <charset val="2"/>
    </font>
    <font>
      <b/>
      <sz val="1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  <family val="2"/>
    </font>
    <font>
      <vertAlign val="subscript"/>
      <sz val="14"/>
      <color indexed="12"/>
      <name val="Arial"/>
      <family val="2"/>
    </font>
    <font>
      <u/>
      <sz val="14"/>
      <color indexed="12"/>
      <name val="Arial"/>
      <family val="2"/>
    </font>
    <font>
      <vertAlign val="subscript"/>
      <sz val="14"/>
      <name val="Symbol"/>
      <family val="1"/>
      <charset val="2"/>
    </font>
    <font>
      <vertAlign val="superscript"/>
      <sz val="14"/>
      <name val="Arial"/>
      <family val="2"/>
    </font>
    <font>
      <sz val="14"/>
      <color indexed="12"/>
      <name val="Symbol"/>
      <family val="1"/>
      <charset val="2"/>
    </font>
    <font>
      <vertAlign val="superscript"/>
      <sz val="14"/>
      <color indexed="12"/>
      <name val="Arial"/>
      <family val="2"/>
    </font>
    <font>
      <sz val="10"/>
      <color indexed="12"/>
      <name val="Arial"/>
      <family val="2"/>
    </font>
    <font>
      <vertAlign val="superscript"/>
      <sz val="14"/>
      <name val="Symbol"/>
      <family val="1"/>
      <charset val="2"/>
    </font>
    <font>
      <vertAlign val="superscript"/>
      <sz val="14"/>
      <color indexed="12"/>
      <name val="Symbol"/>
      <family val="1"/>
      <charset val="2"/>
    </font>
    <font>
      <b/>
      <u/>
      <sz val="14"/>
      <color indexed="12"/>
      <name val="Arial"/>
      <family val="2"/>
    </font>
    <font>
      <b/>
      <u/>
      <sz val="10"/>
      <name val="Arial"/>
      <family val="2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6"/>
      <color indexed="17"/>
      <name val="Arial"/>
      <family val="2"/>
    </font>
    <font>
      <b/>
      <vertAlign val="subscript"/>
      <sz val="16"/>
      <color indexed="17"/>
      <name val="Arial"/>
      <family val="2"/>
    </font>
    <font>
      <b/>
      <sz val="16"/>
      <color indexed="17"/>
      <name val="Calibri"/>
      <family val="2"/>
    </font>
    <font>
      <sz val="14"/>
      <name val="Calibri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sz val="10"/>
      <color rgb="FFC00000"/>
      <name val="Arial"/>
      <family val="2"/>
    </font>
    <font>
      <b/>
      <sz val="16"/>
      <color rgb="FF007635"/>
      <name val="Arial"/>
      <family val="2"/>
    </font>
    <font>
      <sz val="10"/>
      <color rgb="FF007635"/>
      <name val="Arial"/>
      <family val="2"/>
    </font>
    <font>
      <b/>
      <sz val="16"/>
      <color rgb="FF009900"/>
      <name val="Arial"/>
      <family val="2"/>
    </font>
    <font>
      <sz val="10"/>
      <color rgb="FF009900"/>
      <name val="Arial"/>
      <family val="2"/>
    </font>
    <font>
      <b/>
      <sz val="14"/>
      <color rgb="FF0000FF"/>
      <name val="Arial"/>
      <family val="2"/>
    </font>
    <font>
      <i/>
      <sz val="10"/>
      <name val="Symbol"/>
      <family val="1"/>
      <charset val="2"/>
    </font>
    <font>
      <sz val="14"/>
      <color rgb="FF0000FF"/>
      <name val="Arial"/>
      <family val="2"/>
    </font>
    <font>
      <b/>
      <sz val="16"/>
      <color rgb="FF0000FF"/>
      <name val="Arial"/>
      <family val="2"/>
    </font>
    <font>
      <sz val="10"/>
      <name val="Arial"/>
      <family val="2"/>
    </font>
    <font>
      <b/>
      <vertAlign val="subscript"/>
      <sz val="14"/>
      <color rgb="FF0000FF"/>
      <name val="Arial"/>
      <family val="2"/>
    </font>
    <font>
      <vertAlign val="subscript"/>
      <sz val="14"/>
      <color rgb="FF0000FF"/>
      <name val="Arial"/>
      <family val="2"/>
    </font>
    <font>
      <b/>
      <sz val="14"/>
      <color rgb="FF0F17B1"/>
      <name val="Arial"/>
      <family val="2"/>
    </font>
    <font>
      <sz val="18.2"/>
      <color indexed="12"/>
      <name val="Arial"/>
      <family val="2"/>
    </font>
    <font>
      <b/>
      <sz val="16"/>
      <color indexed="17"/>
      <name val="Symbol"/>
      <family val="1"/>
      <charset val="2"/>
    </font>
    <font>
      <b/>
      <sz val="20.8"/>
      <color indexed="17"/>
      <name val="Arial"/>
      <family val="2"/>
    </font>
    <font>
      <b/>
      <vertAlign val="subscript"/>
      <sz val="14"/>
      <color rgb="FF0F17B1"/>
      <name val="Arial"/>
      <family val="2"/>
    </font>
    <font>
      <sz val="12"/>
      <color rgb="FFC00000"/>
      <name val="Arial"/>
      <family val="2"/>
    </font>
    <font>
      <vertAlign val="subscript"/>
      <sz val="14"/>
      <color rgb="FFC00000"/>
      <name val="Arial"/>
      <family val="2"/>
    </font>
    <font>
      <vertAlign val="subscript"/>
      <sz val="12"/>
      <color rgb="FFC00000"/>
      <name val="Arial"/>
      <family val="2"/>
    </font>
    <font>
      <b/>
      <sz val="14"/>
      <color rgb="FF0000FF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7" fillId="0" borderId="0" applyFont="0" applyFill="0" applyBorder="0" applyAlignment="0" applyProtection="0"/>
  </cellStyleXfs>
  <cellXfs count="24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8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left"/>
    </xf>
    <xf numFmtId="0" fontId="0" fillId="0" borderId="1" xfId="0" applyBorder="1"/>
    <xf numFmtId="0" fontId="5" fillId="0" borderId="2" xfId="0" applyFont="1" applyBorder="1"/>
    <xf numFmtId="0" fontId="2" fillId="0" borderId="0" xfId="0" applyFont="1"/>
    <xf numFmtId="0" fontId="5" fillId="0" borderId="0" xfId="0" quotePrefix="1" applyFont="1"/>
    <xf numFmtId="1" fontId="2" fillId="0" borderId="0" xfId="0" applyNumberFormat="1" applyFont="1" applyAlignment="1">
      <alignment horizontal="center"/>
    </xf>
    <xf numFmtId="0" fontId="5" fillId="0" borderId="1" xfId="0" applyFont="1" applyBorder="1"/>
    <xf numFmtId="1" fontId="5" fillId="0" borderId="1" xfId="0" quotePrefix="1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2" fontId="5" fillId="0" borderId="0" xfId="0" quotePrefix="1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5" fillId="0" borderId="3" xfId="0" applyFont="1" applyBorder="1"/>
    <xf numFmtId="0" fontId="0" fillId="0" borderId="4" xfId="0" applyBorder="1"/>
    <xf numFmtId="0" fontId="5" fillId="0" borderId="0" xfId="0" applyFont="1" applyAlignment="1">
      <alignment horizontal="left"/>
    </xf>
    <xf numFmtId="0" fontId="9" fillId="0" borderId="0" xfId="0" applyFont="1" applyBorder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" xfId="0" quotePrefix="1" applyFont="1" applyBorder="1"/>
    <xf numFmtId="165" fontId="2" fillId="0" borderId="1" xfId="0" applyNumberFormat="1" applyFont="1" applyBorder="1" applyAlignment="1">
      <alignment horizontal="center"/>
    </xf>
    <xf numFmtId="0" fontId="5" fillId="0" borderId="4" xfId="0" applyFont="1" applyBorder="1"/>
    <xf numFmtId="0" fontId="2" fillId="0" borderId="0" xfId="0" applyFont="1" applyAlignment="1">
      <alignment horizontal="left"/>
    </xf>
    <xf numFmtId="0" fontId="5" fillId="0" borderId="5" xfId="0" applyFont="1" applyBorder="1"/>
    <xf numFmtId="0" fontId="11" fillId="0" borderId="0" xfId="0" applyFont="1"/>
    <xf numFmtId="2" fontId="12" fillId="0" borderId="1" xfId="0" applyNumberFormat="1" applyFont="1" applyBorder="1" applyAlignment="1">
      <alignment horizont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/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166" fontId="14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vertical="center"/>
    </xf>
    <xf numFmtId="0" fontId="17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>
      <alignment horizontal="center"/>
    </xf>
    <xf numFmtId="165" fontId="5" fillId="0" borderId="1" xfId="0" quotePrefix="1" applyNumberFormat="1" applyFont="1" applyBorder="1" applyAlignment="1">
      <alignment horizontal="left"/>
    </xf>
    <xf numFmtId="0" fontId="23" fillId="0" borderId="0" xfId="0" applyFont="1"/>
    <xf numFmtId="1" fontId="5" fillId="0" borderId="1" xfId="0" quotePrefix="1" applyNumberFormat="1" applyFont="1" applyBorder="1" applyAlignment="1">
      <alignment horizontal="left"/>
    </xf>
    <xf numFmtId="0" fontId="25" fillId="0" borderId="0" xfId="0" applyFont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25" fillId="0" borderId="1" xfId="0" applyFont="1" applyBorder="1"/>
    <xf numFmtId="0" fontId="12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horizontal="left"/>
    </xf>
    <xf numFmtId="165" fontId="12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1" fillId="0" borderId="0" xfId="0" applyFont="1"/>
    <xf numFmtId="1" fontId="12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2" fontId="13" fillId="0" borderId="1" xfId="0" quotePrefix="1" applyNumberFormat="1" applyFont="1" applyBorder="1" applyAlignment="1">
      <alignment horizontal="left"/>
    </xf>
    <xf numFmtId="165" fontId="13" fillId="0" borderId="1" xfId="0" applyNumberFormat="1" applyFont="1" applyBorder="1" applyAlignment="1">
      <alignment horizontal="center"/>
    </xf>
    <xf numFmtId="1" fontId="5" fillId="0" borderId="0" xfId="0" applyNumberFormat="1" applyFont="1"/>
    <xf numFmtId="1" fontId="13" fillId="0" borderId="0" xfId="0" applyNumberFormat="1" applyFont="1"/>
    <xf numFmtId="1" fontId="13" fillId="0" borderId="6" xfId="0" applyNumberFormat="1" applyFont="1" applyBorder="1"/>
    <xf numFmtId="1" fontId="12" fillId="0" borderId="0" xfId="0" applyNumberFormat="1" applyFont="1"/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2" fontId="9" fillId="0" borderId="0" xfId="0" quotePrefix="1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2" fontId="5" fillId="0" borderId="1" xfId="0" quotePrefix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3" fillId="0" borderId="1" xfId="0" quotePrefix="1" applyFont="1" applyBorder="1"/>
    <xf numFmtId="0" fontId="24" fillId="0" borderId="0" xfId="0" applyFont="1"/>
    <xf numFmtId="1" fontId="5" fillId="0" borderId="0" xfId="0" applyNumberFormat="1" applyFont="1" applyBorder="1"/>
    <xf numFmtId="1" fontId="13" fillId="0" borderId="0" xfId="0" applyNumberFormat="1" applyFont="1" applyBorder="1"/>
    <xf numFmtId="0" fontId="12" fillId="0" borderId="0" xfId="0" applyFont="1"/>
    <xf numFmtId="0" fontId="2" fillId="0" borderId="0" xfId="0" applyFont="1" applyAlignment="1">
      <alignment horizontal="right"/>
    </xf>
    <xf numFmtId="0" fontId="5" fillId="0" borderId="6" xfId="0" applyFont="1" applyBorder="1"/>
    <xf numFmtId="0" fontId="13" fillId="0" borderId="0" xfId="0" applyFont="1"/>
    <xf numFmtId="0" fontId="32" fillId="0" borderId="0" xfId="0" applyFont="1"/>
    <xf numFmtId="0" fontId="13" fillId="0" borderId="0" xfId="0" quotePrefix="1" applyFont="1"/>
    <xf numFmtId="2" fontId="2" fillId="0" borderId="1" xfId="0" applyNumberFormat="1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9" fillId="0" borderId="1" xfId="0" quotePrefix="1" applyFont="1" applyBorder="1" applyAlignment="1">
      <alignment horizontal="center"/>
    </xf>
    <xf numFmtId="165" fontId="5" fillId="0" borderId="0" xfId="0" quotePrefix="1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5" fontId="9" fillId="0" borderId="0" xfId="0" quotePrefix="1" applyNumberFormat="1" applyFont="1" applyBorder="1" applyAlignment="1">
      <alignment horizontal="left"/>
    </xf>
    <xf numFmtId="2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22" fillId="0" borderId="1" xfId="0" applyFont="1" applyBorder="1"/>
    <xf numFmtId="164" fontId="2" fillId="0" borderId="1" xfId="0" applyNumberFormat="1" applyFont="1" applyBorder="1" applyAlignment="1">
      <alignment horizontal="center"/>
    </xf>
    <xf numFmtId="1" fontId="5" fillId="0" borderId="0" xfId="0" quotePrefix="1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30" fillId="0" borderId="1" xfId="0" applyFont="1" applyBorder="1"/>
    <xf numFmtId="2" fontId="5" fillId="0" borderId="3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center"/>
    </xf>
    <xf numFmtId="0" fontId="0" fillId="0" borderId="8" xfId="0" applyBorder="1"/>
    <xf numFmtId="0" fontId="5" fillId="0" borderId="9" xfId="0" applyFont="1" applyBorder="1"/>
    <xf numFmtId="1" fontId="2" fillId="0" borderId="7" xfId="0" applyNumberFormat="1" applyFont="1" applyBorder="1" applyAlignment="1">
      <alignment horizontal="center"/>
    </xf>
    <xf numFmtId="0" fontId="0" fillId="0" borderId="10" xfId="0" applyBorder="1"/>
    <xf numFmtId="2" fontId="2" fillId="0" borderId="4" xfId="0" applyNumberFormat="1" applyFont="1" applyBorder="1" applyAlignment="1">
      <alignment horizontal="center"/>
    </xf>
    <xf numFmtId="3" fontId="5" fillId="0" borderId="0" xfId="0" quotePrefix="1" applyNumberFormat="1" applyFont="1"/>
    <xf numFmtId="2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2" fontId="8" fillId="0" borderId="0" xfId="0" applyNumberFormat="1" applyFont="1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0" fontId="8" fillId="0" borderId="0" xfId="0" applyFont="1" applyBorder="1" applyAlignment="1">
      <alignment horizontal="center"/>
    </xf>
    <xf numFmtId="0" fontId="5" fillId="0" borderId="7" xfId="0" quotePrefix="1" applyFont="1" applyBorder="1"/>
    <xf numFmtId="2" fontId="20" fillId="0" borderId="1" xfId="0" applyNumberFormat="1" applyFont="1" applyBorder="1" applyAlignment="1">
      <alignment horizontal="left"/>
    </xf>
    <xf numFmtId="2" fontId="35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164" fontId="9" fillId="3" borderId="0" xfId="0" applyNumberFormat="1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9" fillId="3" borderId="0" xfId="0" applyFont="1" applyFill="1"/>
    <xf numFmtId="0" fontId="9" fillId="3" borderId="0" xfId="0" applyFont="1" applyFill="1" applyBorder="1"/>
    <xf numFmtId="1" fontId="9" fillId="3" borderId="0" xfId="0" applyNumberFormat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9" fillId="3" borderId="0" xfId="0" quotePrefix="1" applyFont="1" applyFill="1" applyAlignment="1">
      <alignment horizontal="left" indent="4"/>
    </xf>
    <xf numFmtId="2" fontId="36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/>
    <xf numFmtId="0" fontId="39" fillId="0" borderId="0" xfId="0" applyFont="1"/>
    <xf numFmtId="0" fontId="40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41" fillId="0" borderId="0" xfId="0" applyFont="1"/>
    <xf numFmtId="3" fontId="5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39" fillId="0" borderId="7" xfId="0" applyFont="1" applyBorder="1" applyAlignment="1">
      <alignment horizontal="center"/>
    </xf>
    <xf numFmtId="1" fontId="46" fillId="0" borderId="1" xfId="0" applyNumberFormat="1" applyFont="1" applyBorder="1" applyAlignment="1">
      <alignment horizontal="center"/>
    </xf>
    <xf numFmtId="2" fontId="46" fillId="0" borderId="1" xfId="0" applyNumberFormat="1" applyFont="1" applyBorder="1" applyAlignment="1">
      <alignment horizontal="center"/>
    </xf>
    <xf numFmtId="164" fontId="5" fillId="0" borderId="0" xfId="0" quotePrefix="1" applyNumberFormat="1" applyFont="1" applyBorder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2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165" fontId="5" fillId="0" borderId="11" xfId="0" applyNumberFormat="1" applyFont="1" applyBorder="1" applyAlignment="1">
      <alignment horizontal="left"/>
    </xf>
    <xf numFmtId="2" fontId="5" fillId="0" borderId="11" xfId="0" quotePrefix="1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center"/>
    </xf>
    <xf numFmtId="0" fontId="53" fillId="0" borderId="4" xfId="0" applyFont="1" applyBorder="1" applyAlignment="1">
      <alignment horizontal="center"/>
    </xf>
    <xf numFmtId="2" fontId="53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left"/>
    </xf>
    <xf numFmtId="0" fontId="48" fillId="0" borderId="0" xfId="0" applyFont="1"/>
    <xf numFmtId="0" fontId="1" fillId="3" borderId="0" xfId="0" quotePrefix="1" applyFont="1" applyFill="1" applyAlignment="1">
      <alignment horizontal="left" indent="4"/>
    </xf>
    <xf numFmtId="0" fontId="1" fillId="3" borderId="0" xfId="0" applyFont="1" applyFill="1"/>
    <xf numFmtId="1" fontId="1" fillId="3" borderId="0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0" xfId="0" quotePrefix="1" applyFont="1" applyFill="1" applyAlignment="1">
      <alignment horizontal="left" indent="8"/>
    </xf>
    <xf numFmtId="0" fontId="1" fillId="3" borderId="0" xfId="0" applyFont="1" applyFill="1" applyBorder="1"/>
    <xf numFmtId="0" fontId="1" fillId="3" borderId="0" xfId="0" applyFont="1" applyFill="1" applyAlignment="1">
      <alignment horizontal="left" indent="4"/>
    </xf>
    <xf numFmtId="0" fontId="5" fillId="0" borderId="12" xfId="0" applyFont="1" applyFill="1" applyBorder="1" applyAlignment="1"/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9" xfId="0" applyFont="1" applyFill="1" applyBorder="1" applyAlignment="1"/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>
      <alignment horizontal="right"/>
    </xf>
    <xf numFmtId="2" fontId="55" fillId="0" borderId="1" xfId="0" applyNumberFormat="1" applyFont="1" applyBorder="1" applyAlignment="1">
      <alignment horizontal="center"/>
    </xf>
    <xf numFmtId="0" fontId="48" fillId="0" borderId="1" xfId="0" applyFont="1" applyBorder="1"/>
    <xf numFmtId="0" fontId="5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2" fontId="53" fillId="0" borderId="1" xfId="0" applyNumberFormat="1" applyFont="1" applyBorder="1" applyAlignment="1">
      <alignment horizontal="right"/>
    </xf>
    <xf numFmtId="2" fontId="53" fillId="0" borderId="1" xfId="0" applyNumberFormat="1" applyFont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2" fontId="53" fillId="0" borderId="0" xfId="0" applyNumberFormat="1" applyFont="1" applyBorder="1" applyAlignment="1">
      <alignment horizontal="right"/>
    </xf>
    <xf numFmtId="2" fontId="53" fillId="0" borderId="0" xfId="0" applyNumberFormat="1" applyFont="1" applyBorder="1"/>
    <xf numFmtId="1" fontId="5" fillId="0" borderId="6" xfId="0" applyNumberFormat="1" applyFont="1" applyBorder="1"/>
    <xf numFmtId="1" fontId="2" fillId="0" borderId="0" xfId="0" applyNumberFormat="1" applyFont="1"/>
    <xf numFmtId="2" fontId="46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3" borderId="0" xfId="0" applyFont="1" applyFill="1" applyBorder="1" applyAlignment="1">
      <alignment horizontal="center"/>
    </xf>
    <xf numFmtId="0" fontId="1" fillId="3" borderId="0" xfId="0" quotePrefix="1" applyFont="1" applyFill="1" applyBorder="1" applyAlignment="1">
      <alignment horizontal="center"/>
    </xf>
    <xf numFmtId="0" fontId="5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42" fillId="0" borderId="0" xfId="0" applyFont="1"/>
    <xf numFmtId="0" fontId="39" fillId="0" borderId="0" xfId="0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47" fillId="0" borderId="1" xfId="0" applyFont="1" applyBorder="1"/>
    <xf numFmtId="2" fontId="46" fillId="0" borderId="1" xfId="0" applyNumberFormat="1" applyFont="1" applyBorder="1" applyAlignment="1">
      <alignment horizontal="left"/>
    </xf>
    <xf numFmtId="2" fontId="46" fillId="0" borderId="0" xfId="0" applyNumberFormat="1" applyFont="1" applyBorder="1" applyAlignment="1">
      <alignment horizontal="left"/>
    </xf>
    <xf numFmtId="0" fontId="47" fillId="0" borderId="0" xfId="0" applyFont="1" applyBorder="1"/>
    <xf numFmtId="9" fontId="47" fillId="0" borderId="0" xfId="1" applyFont="1" applyBorder="1"/>
    <xf numFmtId="1" fontId="46" fillId="0" borderId="0" xfId="0" applyNumberFormat="1" applyFont="1" applyBorder="1" applyAlignment="1">
      <alignment horizontal="center"/>
    </xf>
    <xf numFmtId="1" fontId="53" fillId="0" borderId="1" xfId="0" applyNumberFormat="1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F17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5</xdr:row>
      <xdr:rowOff>38100</xdr:rowOff>
    </xdr:from>
    <xdr:to>
      <xdr:col>6</xdr:col>
      <xdr:colOff>601980</xdr:colOff>
      <xdr:row>39</xdr:row>
      <xdr:rowOff>30480</xdr:rowOff>
    </xdr:to>
    <xdr:pic>
      <xdr:nvPicPr>
        <xdr:cNvPr id="1102" name="Picture 1" descr="Bsp-EnEV-m-Spross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356360"/>
          <a:ext cx="5151120" cy="750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zoomScale="130" zoomScaleNormal="130" workbookViewId="0">
      <selection activeCell="A2" sqref="A2"/>
    </sheetView>
  </sheetViews>
  <sheetFormatPr baseColWidth="10" defaultRowHeight="13.2" x14ac:dyDescent="0.25"/>
  <sheetData>
    <row r="1" spans="1:7" ht="21" x14ac:dyDescent="0.4">
      <c r="A1" s="148" t="s">
        <v>456</v>
      </c>
      <c r="B1" s="149"/>
      <c r="C1" s="149"/>
      <c r="D1" s="149"/>
      <c r="E1" s="149"/>
      <c r="F1" s="149"/>
      <c r="G1" s="149"/>
    </row>
    <row r="2" spans="1:7" x14ac:dyDescent="0.25">
      <c r="A2" s="150"/>
      <c r="B2" s="150"/>
      <c r="C2" s="150"/>
      <c r="D2" s="150"/>
      <c r="E2" s="150"/>
      <c r="F2" s="150"/>
      <c r="G2" s="150"/>
    </row>
    <row r="3" spans="1:7" ht="17.399999999999999" x14ac:dyDescent="0.3">
      <c r="A3" s="151"/>
      <c r="B3" s="152"/>
      <c r="C3" s="152"/>
      <c r="D3" s="152"/>
      <c r="E3" s="152"/>
      <c r="F3" s="152"/>
      <c r="G3" s="152"/>
    </row>
    <row r="4" spans="1:7" ht="17.399999999999999" x14ac:dyDescent="0.3">
      <c r="A4" s="160" t="s">
        <v>498</v>
      </c>
      <c r="B4" s="154"/>
      <c r="C4" s="155"/>
      <c r="D4" s="155"/>
      <c r="E4" s="155"/>
      <c r="F4" s="155"/>
      <c r="G4" s="153"/>
    </row>
    <row r="5" spans="1:7" ht="17.399999999999999" x14ac:dyDescent="0.3">
      <c r="A5" s="160"/>
      <c r="B5" s="154"/>
      <c r="C5" s="155"/>
      <c r="D5" s="155"/>
      <c r="E5" s="155"/>
      <c r="F5" s="155"/>
      <c r="G5" s="153"/>
    </row>
    <row r="6" spans="1:7" ht="17.399999999999999" x14ac:dyDescent="0.3">
      <c r="A6" s="153"/>
      <c r="B6" s="154"/>
      <c r="C6" s="155"/>
      <c r="D6" s="155"/>
      <c r="E6" s="155"/>
      <c r="F6" s="155"/>
      <c r="G6" s="153"/>
    </row>
    <row r="7" spans="1:7" ht="17.399999999999999" x14ac:dyDescent="0.3">
      <c r="A7" s="153"/>
      <c r="B7" s="154"/>
      <c r="C7" s="155"/>
      <c r="D7" s="155"/>
      <c r="E7" s="155"/>
      <c r="F7" s="155"/>
      <c r="G7" s="153"/>
    </row>
    <row r="8" spans="1:7" ht="17.399999999999999" x14ac:dyDescent="0.3">
      <c r="A8" s="153"/>
      <c r="B8" s="154"/>
      <c r="C8" s="155"/>
      <c r="D8" s="155"/>
      <c r="E8" s="155"/>
      <c r="F8" s="155"/>
      <c r="G8" s="153"/>
    </row>
    <row r="9" spans="1:7" ht="17.399999999999999" x14ac:dyDescent="0.3">
      <c r="A9" s="153"/>
      <c r="B9" s="154"/>
      <c r="C9" s="155"/>
      <c r="D9" s="155"/>
      <c r="E9" s="155"/>
      <c r="F9" s="155"/>
      <c r="G9" s="153"/>
    </row>
    <row r="10" spans="1:7" ht="17.399999999999999" x14ac:dyDescent="0.3">
      <c r="A10" s="153"/>
      <c r="B10" s="154"/>
      <c r="C10" s="155"/>
      <c r="D10" s="155"/>
      <c r="E10" s="155"/>
      <c r="F10" s="155"/>
      <c r="G10" s="153"/>
    </row>
    <row r="11" spans="1:7" ht="17.399999999999999" x14ac:dyDescent="0.3">
      <c r="A11" s="153"/>
      <c r="B11" s="154"/>
      <c r="C11" s="155"/>
      <c r="D11" s="155"/>
      <c r="E11" s="155"/>
      <c r="F11" s="156"/>
      <c r="G11" s="153"/>
    </row>
    <row r="12" spans="1:7" ht="17.399999999999999" x14ac:dyDescent="0.3">
      <c r="A12" s="153"/>
      <c r="B12" s="154"/>
      <c r="C12" s="155"/>
      <c r="D12" s="155"/>
      <c r="E12" s="155"/>
      <c r="F12" s="157"/>
      <c r="G12" s="153"/>
    </row>
    <row r="13" spans="1:7" ht="17.399999999999999" x14ac:dyDescent="0.3">
      <c r="A13" s="153"/>
      <c r="B13" s="154"/>
      <c r="C13" s="155"/>
      <c r="D13" s="155"/>
      <c r="E13" s="155"/>
      <c r="F13" s="155"/>
      <c r="G13" s="153"/>
    </row>
    <row r="14" spans="1:7" ht="17.399999999999999" x14ac:dyDescent="0.3">
      <c r="A14" s="153"/>
      <c r="B14" s="154"/>
      <c r="C14" s="155"/>
      <c r="D14" s="155"/>
      <c r="E14" s="155"/>
      <c r="F14" s="155"/>
      <c r="G14" s="153"/>
    </row>
    <row r="15" spans="1:7" ht="17.399999999999999" x14ac:dyDescent="0.3">
      <c r="A15" s="153"/>
      <c r="B15" s="154"/>
      <c r="C15" s="155"/>
      <c r="D15" s="155"/>
      <c r="E15" s="155"/>
      <c r="F15" s="155"/>
      <c r="G15" s="153"/>
    </row>
    <row r="16" spans="1:7" ht="17.399999999999999" x14ac:dyDescent="0.3">
      <c r="A16" s="153"/>
      <c r="B16" s="154"/>
      <c r="C16" s="155"/>
      <c r="D16" s="155"/>
      <c r="E16" s="155"/>
      <c r="F16" s="155"/>
      <c r="G16" s="153"/>
    </row>
    <row r="17" spans="1:7" ht="17.399999999999999" x14ac:dyDescent="0.3">
      <c r="A17" s="153"/>
      <c r="B17" s="154"/>
      <c r="C17" s="155"/>
      <c r="D17" s="155"/>
      <c r="E17" s="155"/>
      <c r="F17" s="155"/>
      <c r="G17" s="153"/>
    </row>
    <row r="18" spans="1:7" ht="17.399999999999999" x14ac:dyDescent="0.3">
      <c r="A18" s="153"/>
      <c r="B18" s="154"/>
      <c r="C18" s="155"/>
      <c r="D18" s="155"/>
      <c r="E18" s="155"/>
      <c r="F18" s="155"/>
      <c r="G18" s="153"/>
    </row>
    <row r="19" spans="1:7" ht="17.399999999999999" x14ac:dyDescent="0.3">
      <c r="A19" s="153"/>
      <c r="B19" s="154"/>
      <c r="C19" s="155"/>
      <c r="D19" s="155"/>
      <c r="E19" s="155"/>
      <c r="F19" s="155"/>
      <c r="G19" s="153"/>
    </row>
    <row r="20" spans="1:7" ht="17.399999999999999" x14ac:dyDescent="0.3">
      <c r="A20" s="153"/>
      <c r="B20" s="154"/>
      <c r="C20" s="155"/>
      <c r="D20" s="155"/>
      <c r="E20" s="155"/>
      <c r="F20" s="155"/>
      <c r="G20" s="153"/>
    </row>
    <row r="21" spans="1:7" ht="17.399999999999999" x14ac:dyDescent="0.3">
      <c r="A21" s="153"/>
      <c r="B21" s="154"/>
      <c r="C21" s="155"/>
      <c r="D21" s="155"/>
      <c r="E21" s="155"/>
      <c r="F21" s="155"/>
      <c r="G21" s="153"/>
    </row>
    <row r="22" spans="1:7" ht="17.399999999999999" x14ac:dyDescent="0.3">
      <c r="A22" s="153"/>
      <c r="B22" s="154"/>
      <c r="C22" s="155"/>
      <c r="D22" s="155"/>
      <c r="E22" s="155"/>
      <c r="F22" s="155"/>
      <c r="G22" s="153"/>
    </row>
    <row r="23" spans="1:7" ht="17.399999999999999" x14ac:dyDescent="0.3">
      <c r="A23" s="153"/>
      <c r="B23" s="154"/>
      <c r="C23" s="155"/>
      <c r="D23" s="155"/>
      <c r="E23" s="155"/>
      <c r="F23" s="155"/>
      <c r="G23" s="153"/>
    </row>
    <row r="24" spans="1:7" ht="17.399999999999999" x14ac:dyDescent="0.3">
      <c r="A24" s="153"/>
      <c r="B24" s="154"/>
      <c r="C24" s="155"/>
      <c r="D24" s="155"/>
      <c r="E24" s="155"/>
      <c r="F24" s="155"/>
      <c r="G24" s="153"/>
    </row>
    <row r="25" spans="1:7" ht="17.399999999999999" x14ac:dyDescent="0.3">
      <c r="A25" s="153"/>
      <c r="B25" s="154"/>
      <c r="C25" s="155"/>
      <c r="D25" s="155"/>
      <c r="E25" s="155"/>
      <c r="F25" s="155"/>
      <c r="G25" s="153"/>
    </row>
    <row r="26" spans="1:7" ht="17.399999999999999" x14ac:dyDescent="0.3">
      <c r="A26" s="153"/>
      <c r="B26" s="154"/>
      <c r="C26" s="155"/>
      <c r="D26" s="155"/>
      <c r="E26" s="155"/>
      <c r="F26" s="155"/>
      <c r="G26" s="153"/>
    </row>
    <row r="27" spans="1:7" ht="17.399999999999999" x14ac:dyDescent="0.3">
      <c r="A27" s="153"/>
      <c r="B27" s="154"/>
      <c r="C27" s="155"/>
      <c r="D27" s="155"/>
      <c r="E27" s="155"/>
      <c r="F27" s="155"/>
      <c r="G27" s="153"/>
    </row>
    <row r="28" spans="1:7" ht="17.399999999999999" x14ac:dyDescent="0.3">
      <c r="A28" s="153"/>
      <c r="B28" s="154"/>
      <c r="C28" s="155"/>
      <c r="D28" s="155"/>
      <c r="E28" s="155"/>
      <c r="F28" s="156"/>
      <c r="G28" s="153"/>
    </row>
    <row r="29" spans="1:7" ht="17.399999999999999" x14ac:dyDescent="0.3">
      <c r="A29" s="153"/>
      <c r="B29" s="154"/>
      <c r="C29" s="155"/>
      <c r="D29" s="155"/>
      <c r="E29" s="155"/>
      <c r="F29" s="157"/>
      <c r="G29" s="153"/>
    </row>
    <row r="30" spans="1:7" ht="17.399999999999999" x14ac:dyDescent="0.3">
      <c r="A30" s="153"/>
      <c r="B30" s="154"/>
      <c r="C30" s="155"/>
      <c r="D30" s="155"/>
      <c r="E30" s="155"/>
      <c r="F30" s="157"/>
      <c r="G30" s="153"/>
    </row>
    <row r="31" spans="1:7" ht="17.399999999999999" x14ac:dyDescent="0.3">
      <c r="A31" s="153"/>
      <c r="B31" s="154"/>
      <c r="C31" s="155"/>
      <c r="D31" s="155"/>
      <c r="E31" s="155"/>
      <c r="F31" s="157"/>
      <c r="G31" s="153"/>
    </row>
    <row r="32" spans="1:7" ht="17.399999999999999" x14ac:dyDescent="0.3">
      <c r="A32" s="153"/>
      <c r="B32" s="154"/>
      <c r="C32" s="155"/>
      <c r="D32" s="155"/>
      <c r="E32" s="155"/>
      <c r="F32" s="157"/>
      <c r="G32" s="153"/>
    </row>
    <row r="33" spans="1:7" ht="17.399999999999999" x14ac:dyDescent="0.3">
      <c r="A33" s="153"/>
      <c r="B33" s="154"/>
      <c r="C33" s="155"/>
      <c r="D33" s="155"/>
      <c r="E33" s="155"/>
      <c r="F33" s="157"/>
      <c r="G33" s="153"/>
    </row>
    <row r="34" spans="1:7" ht="17.399999999999999" x14ac:dyDescent="0.3">
      <c r="A34" s="153"/>
      <c r="B34" s="154"/>
      <c r="C34" s="155"/>
      <c r="D34" s="155"/>
      <c r="E34" s="155"/>
      <c r="F34" s="157"/>
      <c r="G34" s="153"/>
    </row>
    <row r="35" spans="1:7" ht="17.399999999999999" x14ac:dyDescent="0.3">
      <c r="A35" s="153"/>
      <c r="B35" s="154"/>
      <c r="C35" s="155"/>
      <c r="D35" s="155"/>
      <c r="E35" s="155"/>
      <c r="F35" s="157"/>
      <c r="G35" s="153"/>
    </row>
    <row r="36" spans="1:7" ht="17.399999999999999" x14ac:dyDescent="0.3">
      <c r="A36" s="153"/>
      <c r="B36" s="154"/>
      <c r="C36" s="155"/>
      <c r="D36" s="155"/>
      <c r="E36" s="155"/>
      <c r="F36" s="157"/>
      <c r="G36" s="153"/>
    </row>
    <row r="37" spans="1:7" ht="17.399999999999999" x14ac:dyDescent="0.3">
      <c r="A37" s="153"/>
      <c r="B37" s="154"/>
      <c r="C37" s="155"/>
      <c r="D37" s="155"/>
      <c r="E37" s="155"/>
      <c r="F37" s="157"/>
      <c r="G37" s="153"/>
    </row>
    <row r="38" spans="1:7" ht="17.399999999999999" x14ac:dyDescent="0.3">
      <c r="A38" s="153"/>
      <c r="B38" s="154"/>
      <c r="C38" s="155"/>
      <c r="D38" s="155"/>
      <c r="E38" s="155"/>
      <c r="F38" s="157"/>
      <c r="G38" s="153"/>
    </row>
    <row r="39" spans="1:7" ht="17.399999999999999" x14ac:dyDescent="0.3">
      <c r="A39" s="153"/>
      <c r="B39" s="154"/>
      <c r="C39" s="155"/>
      <c r="D39" s="155"/>
      <c r="E39" s="155"/>
      <c r="F39" s="157"/>
      <c r="G39" s="153"/>
    </row>
    <row r="40" spans="1:7" ht="17.399999999999999" x14ac:dyDescent="0.3">
      <c r="A40" s="153"/>
      <c r="B40" s="154"/>
      <c r="C40" s="155"/>
      <c r="D40" s="155"/>
      <c r="E40" s="155"/>
      <c r="F40" s="158"/>
      <c r="G40" s="153"/>
    </row>
    <row r="41" spans="1:7" ht="17.399999999999999" x14ac:dyDescent="0.3">
      <c r="A41" s="152"/>
      <c r="B41" s="159"/>
      <c r="C41" s="153"/>
      <c r="D41" s="157"/>
      <c r="E41" s="157"/>
      <c r="F41" s="157"/>
      <c r="G41" s="153"/>
    </row>
    <row r="42" spans="1:7" ht="17.399999999999999" x14ac:dyDescent="0.3">
      <c r="A42" s="152"/>
      <c r="B42" s="159"/>
      <c r="C42" s="153"/>
      <c r="D42" s="157"/>
      <c r="E42" s="157"/>
      <c r="F42" s="157"/>
      <c r="G42" s="153"/>
    </row>
    <row r="43" spans="1:7" ht="17.399999999999999" x14ac:dyDescent="0.3">
      <c r="A43" s="160" t="s">
        <v>367</v>
      </c>
      <c r="B43" s="159"/>
      <c r="C43" s="153"/>
      <c r="D43" s="157"/>
      <c r="E43" s="157"/>
      <c r="F43" s="157"/>
      <c r="G43" s="153"/>
    </row>
    <row r="44" spans="1:7" x14ac:dyDescent="0.25">
      <c r="A44" s="161"/>
      <c r="B44" s="162"/>
      <c r="C44" s="161"/>
      <c r="D44" s="163"/>
      <c r="E44" s="163"/>
      <c r="F44" s="163"/>
      <c r="G44" s="161"/>
    </row>
    <row r="45" spans="1:7" x14ac:dyDescent="0.25">
      <c r="A45" s="197" t="s">
        <v>478</v>
      </c>
      <c r="B45" s="165"/>
      <c r="C45" s="165"/>
      <c r="D45" s="165"/>
      <c r="E45" s="165"/>
      <c r="F45" s="165"/>
      <c r="G45" s="161"/>
    </row>
    <row r="46" spans="1:7" x14ac:dyDescent="0.25">
      <c r="A46" s="197" t="s">
        <v>457</v>
      </c>
      <c r="B46" s="165"/>
      <c r="C46" s="165"/>
      <c r="D46" s="165"/>
      <c r="E46" s="165"/>
      <c r="F46" s="165"/>
      <c r="G46" s="161"/>
    </row>
    <row r="47" spans="1:7" x14ac:dyDescent="0.25">
      <c r="A47" s="164"/>
      <c r="B47" s="165"/>
      <c r="C47" s="165"/>
      <c r="D47" s="165"/>
      <c r="E47" s="165"/>
      <c r="F47" s="165"/>
      <c r="G47" s="161"/>
    </row>
    <row r="48" spans="1:7" x14ac:dyDescent="0.25">
      <c r="A48" s="164" t="s">
        <v>368</v>
      </c>
      <c r="B48" s="166"/>
      <c r="C48" s="167"/>
      <c r="D48" s="167"/>
      <c r="E48" s="167"/>
      <c r="F48" s="163"/>
      <c r="G48" s="161"/>
    </row>
    <row r="49" spans="1:7" x14ac:dyDescent="0.25">
      <c r="A49" s="196" t="s">
        <v>458</v>
      </c>
      <c r="B49" s="198"/>
      <c r="C49" s="199"/>
      <c r="D49" s="199"/>
      <c r="E49" s="199"/>
      <c r="F49" s="169"/>
      <c r="G49" s="228"/>
    </row>
    <row r="50" spans="1:7" ht="15.6" x14ac:dyDescent="0.35">
      <c r="A50" s="200" t="s">
        <v>459</v>
      </c>
      <c r="B50" s="201"/>
      <c r="C50" s="201"/>
      <c r="D50" s="201"/>
      <c r="E50" s="201"/>
      <c r="F50" s="201"/>
      <c r="G50" s="228"/>
    </row>
    <row r="51" spans="1:7" ht="15.6" x14ac:dyDescent="0.35">
      <c r="A51" s="200" t="s">
        <v>436</v>
      </c>
      <c r="B51" s="201"/>
      <c r="C51" s="201"/>
      <c r="D51" s="163"/>
      <c r="E51" s="163"/>
      <c r="F51" s="163"/>
      <c r="G51" s="229"/>
    </row>
    <row r="52" spans="1:7" x14ac:dyDescent="0.25">
      <c r="A52" s="196" t="s">
        <v>369</v>
      </c>
      <c r="B52" s="201"/>
      <c r="C52" s="201"/>
      <c r="D52" s="201"/>
      <c r="E52" s="201"/>
      <c r="F52" s="201"/>
      <c r="G52" s="228"/>
    </row>
    <row r="53" spans="1:7" ht="15.6" x14ac:dyDescent="0.35">
      <c r="A53" s="202" t="s">
        <v>437</v>
      </c>
      <c r="B53" s="201"/>
      <c r="C53" s="201"/>
      <c r="D53" s="201"/>
      <c r="E53" s="163"/>
      <c r="F53" s="163"/>
      <c r="G53" s="228"/>
    </row>
    <row r="54" spans="1:7" x14ac:dyDescent="0.25">
      <c r="A54" s="196" t="s">
        <v>370</v>
      </c>
      <c r="B54" s="201"/>
      <c r="C54" s="201"/>
      <c r="D54" s="201"/>
      <c r="E54" s="201"/>
      <c r="F54" s="201"/>
      <c r="G54" s="201"/>
    </row>
    <row r="55" spans="1:7" ht="15.6" x14ac:dyDescent="0.35">
      <c r="A55" s="196" t="s">
        <v>460</v>
      </c>
      <c r="B55" s="201"/>
      <c r="C55" s="201"/>
      <c r="D55" s="201"/>
      <c r="E55" s="201"/>
      <c r="F55" s="201"/>
      <c r="G55" s="201"/>
    </row>
    <row r="56" spans="1:7" x14ac:dyDescent="0.25">
      <c r="A56" s="196" t="s">
        <v>371</v>
      </c>
      <c r="B56" s="197"/>
      <c r="C56" s="197"/>
      <c r="D56" s="197"/>
      <c r="E56" s="197"/>
      <c r="F56" s="197"/>
      <c r="G56" s="197"/>
    </row>
    <row r="57" spans="1:7" ht="15.6" x14ac:dyDescent="0.35">
      <c r="A57" s="196" t="s">
        <v>461</v>
      </c>
      <c r="B57" s="197"/>
      <c r="C57" s="197"/>
      <c r="D57" s="197"/>
      <c r="E57" s="197"/>
      <c r="F57" s="197"/>
      <c r="G57" s="197"/>
    </row>
    <row r="58" spans="1:7" ht="15.6" x14ac:dyDescent="0.35">
      <c r="A58" s="196" t="s">
        <v>462</v>
      </c>
      <c r="B58" s="197"/>
      <c r="C58" s="197"/>
      <c r="D58" s="197"/>
      <c r="E58" s="197"/>
      <c r="F58" s="197"/>
      <c r="G58" s="197"/>
    </row>
    <row r="59" spans="1:7" ht="15.6" x14ac:dyDescent="0.35">
      <c r="A59" s="196" t="s">
        <v>463</v>
      </c>
      <c r="B59" s="197"/>
      <c r="C59" s="197"/>
      <c r="D59" s="197"/>
      <c r="E59" s="197"/>
      <c r="F59" s="197"/>
      <c r="G59" s="197"/>
    </row>
    <row r="60" spans="1:7" ht="15.6" x14ac:dyDescent="0.35">
      <c r="A60" s="196" t="s">
        <v>438</v>
      </c>
      <c r="B60" s="197"/>
      <c r="C60" s="197"/>
      <c r="D60" s="197"/>
      <c r="E60" s="197"/>
      <c r="F60" s="197"/>
      <c r="G60" s="197"/>
    </row>
    <row r="61" spans="1:7" x14ac:dyDescent="0.25">
      <c r="A61" s="196" t="s">
        <v>372</v>
      </c>
      <c r="B61" s="197"/>
      <c r="C61" s="197"/>
      <c r="D61" s="197"/>
      <c r="E61" s="197"/>
      <c r="F61" s="197"/>
      <c r="G61" s="197"/>
    </row>
    <row r="62" spans="1:7" ht="15.6" x14ac:dyDescent="0.35">
      <c r="A62" s="196" t="s">
        <v>464</v>
      </c>
      <c r="B62" s="197"/>
      <c r="C62" s="197"/>
      <c r="D62" s="197"/>
      <c r="E62" s="197"/>
      <c r="F62" s="197"/>
      <c r="G62" s="197"/>
    </row>
    <row r="63" spans="1:7" x14ac:dyDescent="0.25">
      <c r="A63" s="196" t="s">
        <v>373</v>
      </c>
      <c r="B63" s="197"/>
      <c r="C63" s="197"/>
      <c r="D63" s="197"/>
      <c r="E63" s="197"/>
      <c r="F63" s="197"/>
      <c r="G63" s="197"/>
    </row>
    <row r="64" spans="1:7" x14ac:dyDescent="0.25">
      <c r="A64" s="168"/>
      <c r="B64" s="164"/>
      <c r="C64" s="164"/>
      <c r="D64" s="164"/>
      <c r="E64" s="164"/>
      <c r="F64" s="164"/>
      <c r="G64" s="164"/>
    </row>
    <row r="65" spans="1:7" x14ac:dyDescent="0.25">
      <c r="A65" s="164" t="s">
        <v>380</v>
      </c>
      <c r="B65" s="164"/>
      <c r="C65" s="164"/>
      <c r="D65" s="164"/>
      <c r="E65" s="164"/>
      <c r="F65" s="164"/>
      <c r="G65" s="164"/>
    </row>
    <row r="66" spans="1:7" x14ac:dyDescent="0.25">
      <c r="A66" s="197" t="s">
        <v>439</v>
      </c>
      <c r="B66" s="164"/>
      <c r="C66" s="164"/>
      <c r="D66" s="164"/>
      <c r="E66" s="164"/>
      <c r="F66" s="164"/>
      <c r="G66" s="164"/>
    </row>
    <row r="67" spans="1:7" x14ac:dyDescent="0.25">
      <c r="A67" s="197" t="s">
        <v>440</v>
      </c>
      <c r="B67" s="164"/>
      <c r="C67" s="164"/>
      <c r="D67" s="164"/>
      <c r="E67" s="164"/>
      <c r="F67" s="164"/>
      <c r="G67" s="164"/>
    </row>
    <row r="68" spans="1:7" x14ac:dyDescent="0.25">
      <c r="A68" s="164"/>
      <c r="B68" s="164"/>
      <c r="C68" s="164"/>
      <c r="D68" s="164"/>
      <c r="E68" s="164"/>
      <c r="F68" s="164"/>
      <c r="G68" s="164"/>
    </row>
    <row r="69" spans="1:7" x14ac:dyDescent="0.25">
      <c r="A69" s="164" t="s">
        <v>381</v>
      </c>
      <c r="B69" s="164"/>
      <c r="C69" s="164"/>
      <c r="D69" s="164"/>
      <c r="E69" s="164"/>
      <c r="F69" s="164"/>
      <c r="G69" s="164"/>
    </row>
    <row r="70" spans="1:7" x14ac:dyDescent="0.25">
      <c r="A70" s="168" t="s">
        <v>382</v>
      </c>
      <c r="B70" s="164"/>
      <c r="C70" s="164"/>
      <c r="D70" s="164"/>
      <c r="E70" s="164"/>
      <c r="F70" s="164"/>
      <c r="G70" s="164"/>
    </row>
    <row r="71" spans="1:7" x14ac:dyDescent="0.25">
      <c r="A71" s="168" t="s">
        <v>383</v>
      </c>
      <c r="B71" s="164"/>
      <c r="C71" s="164"/>
      <c r="D71" s="164"/>
      <c r="E71" s="164"/>
      <c r="F71" s="164"/>
      <c r="G71" s="164"/>
    </row>
    <row r="72" spans="1:7" x14ac:dyDescent="0.25">
      <c r="A72" s="168" t="s">
        <v>384</v>
      </c>
      <c r="B72" s="164"/>
      <c r="C72" s="164"/>
      <c r="D72" s="164"/>
      <c r="E72" s="164"/>
      <c r="F72" s="164"/>
      <c r="G72" s="164"/>
    </row>
    <row r="73" spans="1:7" x14ac:dyDescent="0.25">
      <c r="A73" s="168" t="s">
        <v>385</v>
      </c>
      <c r="B73" s="164"/>
      <c r="C73" s="164"/>
      <c r="D73" s="164"/>
      <c r="E73" s="164"/>
      <c r="F73" s="164"/>
      <c r="G73" s="164"/>
    </row>
    <row r="74" spans="1:7" x14ac:dyDescent="0.25">
      <c r="A74" s="168" t="s">
        <v>386</v>
      </c>
      <c r="B74" s="164"/>
      <c r="C74" s="164"/>
      <c r="D74" s="164"/>
      <c r="E74" s="164"/>
      <c r="F74" s="164"/>
      <c r="G74" s="164"/>
    </row>
    <row r="75" spans="1:7" x14ac:dyDescent="0.25">
      <c r="A75" s="168" t="s">
        <v>387</v>
      </c>
      <c r="B75" s="164"/>
      <c r="C75" s="164"/>
      <c r="D75" s="164"/>
      <c r="E75" s="164"/>
      <c r="F75" s="164"/>
      <c r="G75" s="164"/>
    </row>
    <row r="76" spans="1:7" x14ac:dyDescent="0.25">
      <c r="A76" s="168" t="s">
        <v>388</v>
      </c>
      <c r="B76" s="164"/>
      <c r="C76" s="164"/>
      <c r="D76" s="164"/>
      <c r="E76" s="164"/>
      <c r="F76" s="164"/>
      <c r="G76" s="164"/>
    </row>
    <row r="77" spans="1:7" x14ac:dyDescent="0.25">
      <c r="A77" s="168" t="s">
        <v>374</v>
      </c>
      <c r="B77" s="164"/>
      <c r="C77" s="164"/>
      <c r="D77" s="164"/>
      <c r="E77" s="164"/>
      <c r="F77" s="164"/>
      <c r="G77" s="164"/>
    </row>
    <row r="78" spans="1:7" x14ac:dyDescent="0.25">
      <c r="A78" s="168" t="s">
        <v>375</v>
      </c>
      <c r="B78" s="164"/>
      <c r="C78" s="164"/>
      <c r="D78" s="164"/>
      <c r="E78" s="164"/>
      <c r="F78" s="164"/>
      <c r="G78" s="164"/>
    </row>
    <row r="79" spans="1:7" x14ac:dyDescent="0.25">
      <c r="A79" s="164"/>
      <c r="B79" s="164"/>
      <c r="C79" s="164"/>
      <c r="D79" s="164"/>
      <c r="E79" s="164"/>
      <c r="F79" s="164"/>
      <c r="G79" s="164"/>
    </row>
    <row r="80" spans="1:7" x14ac:dyDescent="0.25">
      <c r="A80" s="164" t="s">
        <v>376</v>
      </c>
      <c r="B80" s="164"/>
      <c r="C80" s="164"/>
      <c r="D80" s="164"/>
      <c r="E80" s="164"/>
      <c r="F80" s="164"/>
      <c r="G80" s="164"/>
    </row>
    <row r="81" spans="1:7" x14ac:dyDescent="0.25">
      <c r="A81" s="168" t="s">
        <v>389</v>
      </c>
      <c r="B81" s="164"/>
      <c r="C81" s="164"/>
      <c r="D81" s="164"/>
      <c r="E81" s="164"/>
      <c r="F81" s="164"/>
      <c r="G81" s="164"/>
    </row>
    <row r="82" spans="1:7" x14ac:dyDescent="0.25">
      <c r="A82" s="168" t="s">
        <v>377</v>
      </c>
      <c r="B82" s="164"/>
      <c r="C82" s="164"/>
      <c r="D82" s="164"/>
      <c r="E82" s="164"/>
      <c r="F82" s="164"/>
      <c r="G82" s="164"/>
    </row>
    <row r="83" spans="1:7" x14ac:dyDescent="0.25">
      <c r="A83" s="168" t="s">
        <v>378</v>
      </c>
      <c r="B83" s="164"/>
      <c r="C83" s="164"/>
      <c r="D83" s="164"/>
      <c r="E83" s="164"/>
      <c r="F83" s="164"/>
      <c r="G83" s="164"/>
    </row>
    <row r="84" spans="1:7" x14ac:dyDescent="0.25">
      <c r="A84" s="168" t="s">
        <v>390</v>
      </c>
      <c r="B84" s="164"/>
      <c r="C84" s="164"/>
      <c r="D84" s="164"/>
      <c r="E84" s="164"/>
      <c r="F84" s="164"/>
      <c r="G84" s="164"/>
    </row>
    <row r="85" spans="1:7" x14ac:dyDescent="0.25">
      <c r="A85" s="164"/>
      <c r="B85" s="164"/>
      <c r="C85" s="164"/>
      <c r="D85" s="164"/>
      <c r="E85" s="164"/>
      <c r="F85" s="164"/>
      <c r="G85" s="164"/>
    </row>
    <row r="86" spans="1:7" x14ac:dyDescent="0.25">
      <c r="A86" s="164" t="s">
        <v>379</v>
      </c>
      <c r="B86" s="164"/>
      <c r="C86" s="164"/>
      <c r="D86" s="164"/>
      <c r="E86" s="164"/>
      <c r="F86" s="164"/>
      <c r="G86" s="164"/>
    </row>
    <row r="87" spans="1:7" x14ac:dyDescent="0.25">
      <c r="A87" s="164"/>
      <c r="B87" s="164"/>
      <c r="C87" s="164"/>
      <c r="D87" s="164"/>
      <c r="E87" s="164"/>
      <c r="F87" s="164"/>
      <c r="G87" s="164"/>
    </row>
    <row r="88" spans="1:7" x14ac:dyDescent="0.25">
      <c r="A88" s="164"/>
      <c r="B88" s="164"/>
      <c r="C88" s="164"/>
      <c r="D88" s="164"/>
      <c r="E88" s="164"/>
      <c r="F88" s="164"/>
      <c r="G88" s="164"/>
    </row>
    <row r="89" spans="1:7" ht="17.399999999999999" x14ac:dyDescent="0.3">
      <c r="A89" s="171" t="s">
        <v>465</v>
      </c>
      <c r="B89" s="164"/>
      <c r="C89" s="164"/>
      <c r="D89" s="164"/>
      <c r="E89" s="164"/>
      <c r="F89" s="164"/>
      <c r="G89" s="164"/>
    </row>
    <row r="90" spans="1:7" x14ac:dyDescent="0.25">
      <c r="A90" s="164"/>
      <c r="B90" s="164"/>
      <c r="C90" s="164"/>
      <c r="D90" s="164"/>
      <c r="E90" s="164"/>
      <c r="F90" s="164"/>
      <c r="G90" s="164"/>
    </row>
    <row r="91" spans="1:7" x14ac:dyDescent="0.25">
      <c r="A91" s="197" t="s">
        <v>499</v>
      </c>
      <c r="B91" s="164"/>
      <c r="C91" s="164"/>
      <c r="D91" s="164"/>
      <c r="E91" s="164"/>
      <c r="F91" s="164"/>
      <c r="G91" s="164"/>
    </row>
    <row r="92" spans="1:7" x14ac:dyDescent="0.25">
      <c r="A92" s="197" t="s">
        <v>441</v>
      </c>
      <c r="B92" s="164"/>
      <c r="C92" s="164"/>
      <c r="D92" s="164"/>
      <c r="E92" s="164"/>
      <c r="F92" s="164"/>
      <c r="G92" s="164"/>
    </row>
    <row r="93" spans="1:7" x14ac:dyDescent="0.25">
      <c r="A93" s="197" t="s">
        <v>479</v>
      </c>
      <c r="B93" s="164"/>
      <c r="C93" s="164"/>
      <c r="D93" s="164"/>
      <c r="E93" s="164"/>
      <c r="F93" s="164"/>
      <c r="G93" s="164"/>
    </row>
    <row r="94" spans="1:7" x14ac:dyDescent="0.25">
      <c r="A94" s="170"/>
      <c r="B94" s="170"/>
      <c r="C94" s="170"/>
      <c r="D94" s="170"/>
      <c r="E94" s="170"/>
      <c r="F94" s="170"/>
      <c r="G94" s="170"/>
    </row>
  </sheetData>
  <pageMargins left="0.70866141732283461" right="0.51181102362204722" top="0.78740157480314965" bottom="0.39370078740157483" header="0.31496062992125984" footer="0.31496062992125984"/>
  <pageSetup paperSize="9" orientation="portrait" horizontalDpi="4294967293" verticalDpi="4294967293" r:id="rId1"/>
  <headerFooter>
    <oddHeader>&amp;C&amp;F</oddHeader>
  </headerFooter>
  <rowBreaks count="1" manualBreakCount="1">
    <brk id="4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125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220</v>
      </c>
      <c r="B3" s="43" t="s">
        <v>194</v>
      </c>
      <c r="C3" s="181">
        <v>18.998999999999999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31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'Qh-JUL'!E9*('HT+HV'!E33+'HT+HV'!E41-'Qh-JUL'!E10)/('Qh-JUL'!E9-('HT+HV'!E33+'HT+HV'!E41-'Qh-JUL'!E10))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18.999984570737372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62.09527308246119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61.430329366763161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18.999841633313221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18.999858822516103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0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18.999858822516103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2.8468822248963561E-3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9.6596445177365986E-2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81</v>
      </c>
      <c r="C33" s="12">
        <v>0.5</v>
      </c>
      <c r="D33" s="11">
        <f>A!F5</f>
        <v>8.5806000000000004</v>
      </c>
      <c r="E33" s="13">
        <f>0.024*B33*C33*D33*0.567*C4</f>
        <v>146.59821242639998</v>
      </c>
      <c r="F33" s="8"/>
    </row>
    <row r="34" spans="1:6" ht="17.399999999999999" x14ac:dyDescent="0.3">
      <c r="A34" s="48" t="s">
        <v>160</v>
      </c>
      <c r="B34" s="13">
        <v>138</v>
      </c>
      <c r="C34" s="12">
        <v>0.5</v>
      </c>
      <c r="D34" s="11">
        <f>A!F7</f>
        <v>10.220599999999999</v>
      </c>
      <c r="E34" s="13">
        <f>0.024*B34*C34*D34*0.567*C4</f>
        <v>297.49623714719996</v>
      </c>
      <c r="F34" s="8"/>
    </row>
    <row r="35" spans="1:6" ht="17.399999999999999" x14ac:dyDescent="0.3">
      <c r="A35" s="48" t="s">
        <v>161</v>
      </c>
      <c r="B35" s="13">
        <v>117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113</v>
      </c>
      <c r="C36" s="12">
        <v>0.5</v>
      </c>
      <c r="D36" s="11">
        <f>A!F8</f>
        <v>4.7628000000000004</v>
      </c>
      <c r="E36" s="25">
        <f>0.024*B36*C36*D36*0.567*C4</f>
        <v>113.51853747360001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557.61298704719991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450.717973632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10438.592836700653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9.5798352866502707E-5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'Qh-JUL'!E27-E50*('Qh-JUL'!E37+'Qh-JUL'!E41)</f>
        <v>3.1918911957973251E-16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126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'Qh-JUL'!E62*('HT+HV'!E78+'HT+HV'!E86-'Qh-JUL'!E63)/('Qh-JUL'!E62-('HT+HV'!E78+'HT+HV'!E86-'Qh-JUL'!E63))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18.999979326647541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64.090632330200577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63.158437122034243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18.999811451897671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18.999829832153047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0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18.999829832153047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4.1172814928058261E-3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0.11604946810920347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81</v>
      </c>
      <c r="C86" s="77">
        <v>0.6</v>
      </c>
      <c r="D86" s="11">
        <f>A!F5</f>
        <v>8.5806000000000004</v>
      </c>
      <c r="E86" s="85">
        <f>0.024*B86*C86*D86*0.567*C4</f>
        <v>175.91785491167997</v>
      </c>
      <c r="F86" s="8"/>
    </row>
    <row r="87" spans="1:6" ht="17.399999999999999" x14ac:dyDescent="0.3">
      <c r="A87" s="48" t="s">
        <v>160</v>
      </c>
      <c r="B87" s="13">
        <v>138</v>
      </c>
      <c r="C87" s="77">
        <v>0.6</v>
      </c>
      <c r="D87" s="11">
        <f>A!F7</f>
        <v>10.220599999999999</v>
      </c>
      <c r="E87" s="85">
        <f>0.024*B87*C87*D87*0.567*C4</f>
        <v>356.99548457663997</v>
      </c>
      <c r="F87" s="8"/>
    </row>
    <row r="88" spans="1:6" ht="17.399999999999999" x14ac:dyDescent="0.3">
      <c r="A88" s="48" t="s">
        <v>161</v>
      </c>
      <c r="B88" s="13">
        <v>117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113</v>
      </c>
      <c r="C89" s="77">
        <v>0.6</v>
      </c>
      <c r="D89" s="11">
        <f>A!F8</f>
        <v>4.7628000000000004</v>
      </c>
      <c r="E89" s="86">
        <f>0.024*B89*C89*D89*0.567*C4</f>
        <v>136.22224496831998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669.13558445663989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450.717973632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9649.7948360680875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1.036291462137918E-4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'Qh-JUL'!E80-E103*('Qh-JUL'!E90+'Qh-JUL'!E94)</f>
        <v>8.1878948066105295E-16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127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221</v>
      </c>
      <c r="B3" s="43" t="s">
        <v>194</v>
      </c>
      <c r="C3" s="181">
        <v>18.600000000000001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31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'Qh-AUG'!E9*('HT+HV'!E33+'HT+HV'!E41-'Qh-AUG'!E10)/('Qh-AUG'!E9-('HT+HV'!E33+'HT+HV'!E41-'Qh-AUG'!E10))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18.993828294948607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61.696273082461197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61.03132936676316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18.936653325288965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18.943529006441718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0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18.943529006441718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1.1387528900633035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38.638578070792882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57</v>
      </c>
      <c r="C33" s="12">
        <v>0.5</v>
      </c>
      <c r="D33" s="11">
        <f>A!F5</f>
        <v>8.5806000000000004</v>
      </c>
      <c r="E33" s="13">
        <f>0.024*B33*C33*D33*0.567*C4</f>
        <v>103.1617050408</v>
      </c>
      <c r="F33" s="8"/>
    </row>
    <row r="34" spans="1:6" ht="17.399999999999999" x14ac:dyDescent="0.3">
      <c r="A34" s="48" t="s">
        <v>160</v>
      </c>
      <c r="B34" s="13">
        <v>115</v>
      </c>
      <c r="C34" s="12">
        <v>0.5</v>
      </c>
      <c r="D34" s="11">
        <f>A!F7</f>
        <v>10.220599999999999</v>
      </c>
      <c r="E34" s="13">
        <f>0.024*B34*C34*D34*0.567*C4</f>
        <v>247.91353095599999</v>
      </c>
      <c r="F34" s="8"/>
    </row>
    <row r="35" spans="1:6" ht="17.399999999999999" x14ac:dyDescent="0.3">
      <c r="A35" s="48" t="s">
        <v>161</v>
      </c>
      <c r="B35" s="13">
        <v>105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127</v>
      </c>
      <c r="C36" s="12">
        <v>0.5</v>
      </c>
      <c r="D36" s="11">
        <f>A!F8</f>
        <v>4.7628000000000004</v>
      </c>
      <c r="E36" s="25">
        <f>0.024*B36*C36*D36*0.567*C4</f>
        <v>127.58278105439999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478.65801705119998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450.717973632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24.053058810301316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4.1574753875864831E-2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'Qh-AUG'!E27-E50*('Qh-AUG'!E37+'Qh-AUG'!E41)</f>
        <v>7.9580786405131221E-13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128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'Qh-AUG'!E62*('HT+HV'!E78+'HT+HV'!E86-'Qh-AUG'!E63)/('Qh-AUG'!E62-('HT+HV'!E78+'HT+HV'!E86-'Qh-AUG'!E63))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18.991730659015936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63.691632330200584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62.75943712203425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18.924580759067968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18.931932861217803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0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18.931932861217803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1.6469125969743033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46.4197872437705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57</v>
      </c>
      <c r="C86" s="77">
        <v>0.6</v>
      </c>
      <c r="D86" s="11">
        <f>A!F5</f>
        <v>8.5806000000000004</v>
      </c>
      <c r="E86" s="85">
        <f>0.024*B86*C86*D86*0.567*C4</f>
        <v>123.79404604896</v>
      </c>
      <c r="F86" s="8"/>
    </row>
    <row r="87" spans="1:6" ht="17.399999999999999" x14ac:dyDescent="0.3">
      <c r="A87" s="48" t="s">
        <v>160</v>
      </c>
      <c r="B87" s="13">
        <v>115</v>
      </c>
      <c r="C87" s="77">
        <v>0.6</v>
      </c>
      <c r="D87" s="11">
        <f>A!F7</f>
        <v>10.220599999999999</v>
      </c>
      <c r="E87" s="85">
        <f>0.024*B87*C87*D87*0.567*C4</f>
        <v>297.49623714719996</v>
      </c>
      <c r="F87" s="8"/>
    </row>
    <row r="88" spans="1:6" ht="17.399999999999999" x14ac:dyDescent="0.3">
      <c r="A88" s="48" t="s">
        <v>161</v>
      </c>
      <c r="B88" s="13">
        <v>105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127</v>
      </c>
      <c r="C89" s="77">
        <v>0.6</v>
      </c>
      <c r="D89" s="11">
        <f>A!F8</f>
        <v>4.7628000000000004</v>
      </c>
      <c r="E89" s="86">
        <f>0.024*B89*C89*D89*0.567*C4</f>
        <v>153.09933726527998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574.38962046144002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450.717973632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22.083418622971148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4.5282843977500868E-2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'Qh-AUG'!E80-E103*('Qh-AUG'!E90+'Qh-AUG'!E94)</f>
        <v>2.8596502943400992E-10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129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222</v>
      </c>
      <c r="B3" s="43" t="s">
        <v>194</v>
      </c>
      <c r="C3" s="181">
        <v>14.3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30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'Qh-SEP'!E9*('HT+HV'!E33+'HT+HV'!E41-'Qh-SEP'!E10)/('Qh-SEP'!E9-('HT+HV'!E33+'HT+HV'!E41-'Qh-SEP'!E10))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18.927482465646136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57.396273082461192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56.731329366763163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18.255676572145358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18.336465825690198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0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18.336465825690198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12.948722378946256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439.35802483724257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41</v>
      </c>
      <c r="C33" s="12">
        <v>0.5</v>
      </c>
      <c r="D33" s="11">
        <f>A!F5</f>
        <v>8.5806000000000004</v>
      </c>
      <c r="E33" s="13">
        <f>0.024*B33*C33*D33*0.567*C4</f>
        <v>71.810354951999983</v>
      </c>
      <c r="F33" s="8"/>
    </row>
    <row r="34" spans="1:6" ht="17.399999999999999" x14ac:dyDescent="0.3">
      <c r="A34" s="48" t="s">
        <v>160</v>
      </c>
      <c r="B34" s="13">
        <v>83</v>
      </c>
      <c r="C34" s="12">
        <v>0.5</v>
      </c>
      <c r="D34" s="11">
        <f>A!F7</f>
        <v>10.220599999999999</v>
      </c>
      <c r="E34" s="13">
        <f>0.024*B34*C34*D34*0.567*C4</f>
        <v>173.156996376</v>
      </c>
      <c r="F34" s="8"/>
    </row>
    <row r="35" spans="1:6" ht="17.399999999999999" x14ac:dyDescent="0.3">
      <c r="A35" s="48" t="s">
        <v>161</v>
      </c>
      <c r="B35" s="13">
        <v>79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123</v>
      </c>
      <c r="C36" s="12">
        <v>0.5</v>
      </c>
      <c r="D36" s="11">
        <f>A!F8</f>
        <v>4.7628000000000004</v>
      </c>
      <c r="E36" s="25">
        <f>0.024*B36*C36*D36*0.567*C4</f>
        <v>119.578476528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364.54582785599996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436.17868415999999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1.8224875084792711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0.54803028514098329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'Qh-SEP'!E27-E50*('Qh-SEP'!E37+'Qh-SEP'!E41)</f>
        <v>0.53674219773944287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130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'Qh-SEP'!E62*('HT+HV'!E78+'HT+HV'!E86-'Qh-SEP'!E63)/('Qh-SEP'!E62-('HT+HV'!E78+'HT+HV'!E86-'Qh-SEP'!E63))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18.902835243437231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59.391632330200579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58.459437122034245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18.113823919048595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18.200211119309131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0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18.200211119309131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18.726990013975055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527.83790333643128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41</v>
      </c>
      <c r="C86" s="77">
        <v>0.6</v>
      </c>
      <c r="D86" s="11">
        <f>A!F5</f>
        <v>8.5806000000000004</v>
      </c>
      <c r="E86" s="85">
        <f>0.024*B86*C86*D86*0.567*C4</f>
        <v>86.172425942399983</v>
      </c>
      <c r="F86" s="8"/>
    </row>
    <row r="87" spans="1:6" ht="17.399999999999999" x14ac:dyDescent="0.3">
      <c r="A87" s="48" t="s">
        <v>160</v>
      </c>
      <c r="B87" s="13">
        <v>83</v>
      </c>
      <c r="C87" s="77">
        <v>0.6</v>
      </c>
      <c r="D87" s="11">
        <f>A!F7</f>
        <v>10.220599999999999</v>
      </c>
      <c r="E87" s="85">
        <f>0.024*B87*C87*D87*0.567*C4</f>
        <v>207.78839565120001</v>
      </c>
      <c r="F87" s="8"/>
    </row>
    <row r="88" spans="1:6" ht="17.399999999999999" x14ac:dyDescent="0.3">
      <c r="A88" s="48" t="s">
        <v>161</v>
      </c>
      <c r="B88" s="13">
        <v>79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123</v>
      </c>
      <c r="C89" s="77">
        <v>0.6</v>
      </c>
      <c r="D89" s="11">
        <f>A!F8</f>
        <v>4.7628000000000004</v>
      </c>
      <c r="E89" s="86">
        <f>0.024*B89*C89*D89*0.567*C4</f>
        <v>143.49417183360001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437.45499342719995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436.17868415999999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1.655117360964445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0.60054991248293266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'Qh-SEP'!E80-E103*('Qh-SEP'!E90+'Qh-SEP'!E94)</f>
        <v>3.177274719295724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131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223</v>
      </c>
      <c r="B3" s="43" t="s">
        <v>194</v>
      </c>
      <c r="C3" s="181">
        <v>9.5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31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'Qh-OKT'!E9*('HT+HV'!E33+'HT+HV'!E41-'Qh-OKT'!E10)/('Qh-OKT'!E9-('HT+HV'!E33+'HT+HV'!E41-'Qh-OKT'!E10))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18.853422005029429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52.596273082461195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51.931329366763158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17.495516475612966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17.658813902990836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0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17.658813902990836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27.045381139006114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917.66622918133157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25</v>
      </c>
      <c r="C33" s="12">
        <v>0.5</v>
      </c>
      <c r="D33" s="11">
        <f>A!F5</f>
        <v>8.5806000000000004</v>
      </c>
      <c r="E33" s="13">
        <f>0.024*B33*C33*D33*0.567*C4</f>
        <v>45.24636186</v>
      </c>
      <c r="F33" s="8"/>
    </row>
    <row r="34" spans="1:6" ht="17.399999999999999" x14ac:dyDescent="0.3">
      <c r="A34" s="48" t="s">
        <v>160</v>
      </c>
      <c r="B34" s="13">
        <v>55</v>
      </c>
      <c r="C34" s="12">
        <v>0.5</v>
      </c>
      <c r="D34" s="11">
        <f>A!F7</f>
        <v>10.220599999999999</v>
      </c>
      <c r="E34" s="13">
        <f>0.024*B34*C34*D34*0.567*C4</f>
        <v>118.56734089199999</v>
      </c>
      <c r="F34" s="8"/>
    </row>
    <row r="35" spans="1:6" ht="17.399999999999999" x14ac:dyDescent="0.3">
      <c r="A35" s="48" t="s">
        <v>161</v>
      </c>
      <c r="B35" s="13">
        <v>47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106</v>
      </c>
      <c r="C36" s="12">
        <v>0.5</v>
      </c>
      <c r="D36" s="11">
        <f>A!F8</f>
        <v>4.7628000000000004</v>
      </c>
      <c r="E36" s="25">
        <f>0.024*B36*C36*D36*0.567*C4</f>
        <v>106.48641568320001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270.30011843519998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450.717973632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0.78570842986173162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0.97852150221767631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'Qh-OKT'!E27-E50*('Qh-OKT'!E37+'Qh-OKT'!E41)</f>
        <v>212.13452260561223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132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'Qh-OKT'!E62*('HT+HV'!E78+'HT+HV'!E86-'Qh-OKT'!E63)/('Qh-OKT'!E62-('HT+HV'!E78+'HT+HV'!E86-'Qh-OKT'!E63))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18.803603151628447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54.591632330200582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53.659437122034248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17.208793027864186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17.383405453922716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0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17.383405453922716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39.114174178125829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1102.4699470395674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25</v>
      </c>
      <c r="C86" s="77">
        <v>0.6</v>
      </c>
      <c r="D86" s="11">
        <f>A!F5</f>
        <v>8.5806000000000004</v>
      </c>
      <c r="E86" s="85">
        <f>0.024*B86*C86*D86*0.567*C4</f>
        <v>54.295634231999998</v>
      </c>
      <c r="F86" s="8"/>
    </row>
    <row r="87" spans="1:6" ht="17.399999999999999" x14ac:dyDescent="0.3">
      <c r="A87" s="48" t="s">
        <v>160</v>
      </c>
      <c r="B87" s="13">
        <v>55</v>
      </c>
      <c r="C87" s="77">
        <v>0.6</v>
      </c>
      <c r="D87" s="11">
        <f>A!F7</f>
        <v>10.220599999999999</v>
      </c>
      <c r="E87" s="85">
        <f>0.024*B87*C87*D87*0.567*C4</f>
        <v>142.28080907039998</v>
      </c>
      <c r="F87" s="8"/>
    </row>
    <row r="88" spans="1:6" ht="17.399999999999999" x14ac:dyDescent="0.3">
      <c r="A88" s="48" t="s">
        <v>161</v>
      </c>
      <c r="B88" s="13">
        <v>47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106</v>
      </c>
      <c r="C89" s="77">
        <v>0.6</v>
      </c>
      <c r="D89" s="11">
        <f>A!F8</f>
        <v>4.7628000000000004</v>
      </c>
      <c r="E89" s="86">
        <f>0.024*B89*C89*D89*0.567*C4</f>
        <v>127.78369881984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324.36014212223995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450.717973632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0.70303786315040706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0.98358481568284661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'Qh-OKT'!E80-E103*('Qh-OKT'!E90+'Qh-OKT'!E94)</f>
        <v>340.11488141562529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133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224</v>
      </c>
      <c r="B3" s="43" t="s">
        <v>194</v>
      </c>
      <c r="C3" s="181">
        <v>4.0999999999999996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30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'Qh-NOV'!E9*('HT+HV'!E33+'HT+HV'!E41-'Qh-NOV'!E10)/('Qh-NOV'!E9-('HT+HV'!E33+'HT+HV'!E41-'Qh-NOV'!E10))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18.770103986835629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47.196273082461197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46.53132936676316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16.640336367014015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16.896455489954043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1.5134949931851673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17.75918618634724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43.60305897857603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1390.3055651748739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13</v>
      </c>
      <c r="C33" s="12">
        <v>0.5</v>
      </c>
      <c r="D33" s="11">
        <f>A!F5</f>
        <v>8.5806000000000004</v>
      </c>
      <c r="E33" s="13">
        <f>0.024*B33*C33*D33*0.567*C4</f>
        <v>22.769136935999999</v>
      </c>
      <c r="F33" s="8"/>
    </row>
    <row r="34" spans="1:6" ht="17.399999999999999" x14ac:dyDescent="0.3">
      <c r="A34" s="48" t="s">
        <v>160</v>
      </c>
      <c r="B34" s="13">
        <v>20</v>
      </c>
      <c r="C34" s="12">
        <v>0.5</v>
      </c>
      <c r="D34" s="11">
        <f>A!F7</f>
        <v>10.220599999999999</v>
      </c>
      <c r="E34" s="13">
        <f>0.024*B34*C34*D34*0.567*C4</f>
        <v>41.72457743999999</v>
      </c>
      <c r="F34" s="8"/>
    </row>
    <row r="35" spans="1:6" ht="17.399999999999999" x14ac:dyDescent="0.3">
      <c r="A35" s="48" t="s">
        <v>161</v>
      </c>
      <c r="B35" s="13">
        <v>19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39</v>
      </c>
      <c r="C36" s="12">
        <v>0.5</v>
      </c>
      <c r="D36" s="11">
        <f>A!F8</f>
        <v>4.7628000000000004</v>
      </c>
      <c r="E36" s="25">
        <f>0.024*B36*C36*D36*0.567*C4</f>
        <v>37.915126704000002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102.40884107999999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436.17868415999999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0.3873878798523373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0.99994636293169348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'Qh-NOV'!E27-E50*('Qh-NOV'!E37+'Qh-NOV'!E41)</f>
        <v>851.74692819075426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134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'Qh-NOV'!E62*('HT+HV'!E78+'HT+HV'!E86-'Qh-NOV'!E63)/('Qh-NOV'!E62-('HT+HV'!E78+'HT+HV'!E86-'Qh-NOV'!E63))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18.691967048343564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49.191632330200584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48.25943712203425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16.190633275281719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16.464499080362991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1.2400710068309118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17.383931953532272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62.056439517762826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1670.6705628058664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13</v>
      </c>
      <c r="C86" s="77">
        <v>0.6</v>
      </c>
      <c r="D86" s="11">
        <f>A!F5</f>
        <v>8.5806000000000004</v>
      </c>
      <c r="E86" s="85">
        <f>0.024*B86*C86*D86*0.567*C4</f>
        <v>27.322964323200001</v>
      </c>
      <c r="F86" s="8"/>
    </row>
    <row r="87" spans="1:6" ht="17.399999999999999" x14ac:dyDescent="0.3">
      <c r="A87" s="48" t="s">
        <v>160</v>
      </c>
      <c r="B87" s="13">
        <v>20</v>
      </c>
      <c r="C87" s="77">
        <v>0.6</v>
      </c>
      <c r="D87" s="11">
        <f>A!F7</f>
        <v>10.220599999999999</v>
      </c>
      <c r="E87" s="85">
        <f>0.024*B87*C87*D87*0.567*C4</f>
        <v>50.069492927999988</v>
      </c>
      <c r="F87" s="8"/>
    </row>
    <row r="88" spans="1:6" ht="17.399999999999999" x14ac:dyDescent="0.3">
      <c r="A88" s="48" t="s">
        <v>161</v>
      </c>
      <c r="B88" s="13">
        <v>19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39</v>
      </c>
      <c r="C89" s="77">
        <v>0.6</v>
      </c>
      <c r="D89" s="11">
        <f>A!F8</f>
        <v>4.7628000000000004</v>
      </c>
      <c r="E89" s="86">
        <f>0.024*B89*C89*D89*0.567*C4</f>
        <v>45.498152044799994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122.89060929599998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436.17868415999999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0.33463766340447837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0.99992674876076715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'Qh-NOV'!E80-E103*('Qh-NOV'!E90+'Qh-NOV'!E94)</f>
        <v>1111.6422218684293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135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225</v>
      </c>
      <c r="B3" s="43" t="s">
        <v>194</v>
      </c>
      <c r="C3" s="181">
        <v>0.9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31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'Qh-DEZ'!E9*('HT+HV'!E33+'HT+HV'!E41-'Qh-DEZ'!E10)/('Qh-DEZ'!E9-('HT+HV'!E33+'HT+HV'!E41-'Qh-DEZ'!E10))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18.720730346424489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43.996273082461194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43.331329366763157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16.133562969325752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16.444687541487802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2.6989572386446348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17.824541785226064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59.023246528637927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1740.900979450111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7</v>
      </c>
      <c r="C33" s="12">
        <v>0.5</v>
      </c>
      <c r="D33" s="11">
        <f>A!F5</f>
        <v>8.5806000000000004</v>
      </c>
      <c r="E33" s="13">
        <f>0.024*B33*C33*D33*0.567*C4</f>
        <v>12.6689813208</v>
      </c>
      <c r="F33" s="8"/>
    </row>
    <row r="34" spans="1:6" ht="17.399999999999999" x14ac:dyDescent="0.3">
      <c r="A34" s="48" t="s">
        <v>160</v>
      </c>
      <c r="B34" s="13">
        <v>12</v>
      </c>
      <c r="C34" s="12">
        <v>0.5</v>
      </c>
      <c r="D34" s="11">
        <f>A!F7</f>
        <v>10.220599999999999</v>
      </c>
      <c r="E34" s="13">
        <f>0.024*B34*C34*D34*0.567*C4</f>
        <v>25.8692380128</v>
      </c>
      <c r="F34" s="8"/>
    </row>
    <row r="35" spans="1:6" ht="17.399999999999999" x14ac:dyDescent="0.3">
      <c r="A35" s="48" t="s">
        <v>161</v>
      </c>
      <c r="B35" s="13">
        <v>11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29</v>
      </c>
      <c r="C36" s="12">
        <v>0.5</v>
      </c>
      <c r="D36" s="11">
        <f>A!F8</f>
        <v>4.7628000000000004</v>
      </c>
      <c r="E36" s="25">
        <f>0.024*B36*C36*D36*0.567*C4</f>
        <v>29.133075988800002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67.671295322399999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450.717973632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0.29777068028196574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0.99999539771989565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'Qh-DEZ'!E27-E50*('Qh-DEZ'!E37+'Qh-DEZ'!E41)</f>
        <v>1222.5140962683299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136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'Qh-DEZ'!E62*('HT+HV'!E78+'HT+HV'!E86-'Qh-DEZ'!E63)/('Qh-DEZ'!E62-('HT+HV'!E78+'HT+HV'!E86-'Qh-DEZ'!E63))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18.625812320471042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45.991632330200581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45.059437122034247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15.587279347825449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15.919961970105385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2.2891553181100819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17.456415383995068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83.055206536182354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2091.9629612575281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7</v>
      </c>
      <c r="C86" s="77">
        <v>0.6</v>
      </c>
      <c r="D86" s="11">
        <f>A!F5</f>
        <v>8.5806000000000004</v>
      </c>
      <c r="E86" s="85">
        <f>0.024*B86*C86*D86*0.567*C4</f>
        <v>15.20277758496</v>
      </c>
      <c r="F86" s="8"/>
    </row>
    <row r="87" spans="1:6" ht="17.399999999999999" x14ac:dyDescent="0.3">
      <c r="A87" s="48" t="s">
        <v>160</v>
      </c>
      <c r="B87" s="13">
        <v>12</v>
      </c>
      <c r="C87" s="77">
        <v>0.6</v>
      </c>
      <c r="D87" s="11">
        <f>A!F7</f>
        <v>10.220599999999999</v>
      </c>
      <c r="E87" s="85">
        <f>0.024*B87*C87*D87*0.567*C4</f>
        <v>31.043085615359995</v>
      </c>
      <c r="F87" s="8"/>
    </row>
    <row r="88" spans="1:6" ht="17.399999999999999" x14ac:dyDescent="0.3">
      <c r="A88" s="48" t="s">
        <v>161</v>
      </c>
      <c r="B88" s="13">
        <v>11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29</v>
      </c>
      <c r="C89" s="77">
        <v>0.6</v>
      </c>
      <c r="D89" s="11">
        <f>A!F8</f>
        <v>4.7628000000000004</v>
      </c>
      <c r="E89" s="86">
        <f>0.024*B89*C89*D89*0.567*C4</f>
        <v>34.959691186560001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81.205554386879996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450.717973632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0.25427005060315611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0.99999165868783191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'Qh-DEZ'!E80-E103*('Qh-DEZ'!E90+'Qh-DEZ'!E94)</f>
        <v>1560.0438701788448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4.6640625" customWidth="1"/>
    <col min="2" max="3" width="15.6640625" customWidth="1"/>
    <col min="4" max="4" width="14.6640625" customWidth="1"/>
    <col min="5" max="5" width="15.6640625" customWidth="1"/>
    <col min="6" max="6" width="8.88671875" customWidth="1"/>
  </cols>
  <sheetData>
    <row r="1" spans="1:6" ht="21" x14ac:dyDescent="0.4">
      <c r="A1" s="2" t="s">
        <v>88</v>
      </c>
      <c r="B1" s="7"/>
      <c r="C1" s="7"/>
      <c r="D1" s="106" t="s">
        <v>137</v>
      </c>
      <c r="E1" s="7"/>
      <c r="F1" s="8"/>
    </row>
    <row r="2" spans="1:6" ht="17.399999999999999" x14ac:dyDescent="0.3">
      <c r="F2" s="8"/>
    </row>
    <row r="3" spans="1:6" ht="21" x14ac:dyDescent="0.45">
      <c r="A3" s="29" t="s">
        <v>90</v>
      </c>
      <c r="B3" s="107" t="s">
        <v>81</v>
      </c>
      <c r="C3" s="29"/>
      <c r="D3" s="29" t="s">
        <v>90</v>
      </c>
      <c r="E3" s="107" t="s">
        <v>81</v>
      </c>
      <c r="F3" s="8"/>
    </row>
    <row r="4" spans="1:6" ht="17.399999999999999" x14ac:dyDescent="0.3">
      <c r="A4" s="7"/>
      <c r="B4" s="30"/>
      <c r="C4" s="7"/>
      <c r="D4" s="7"/>
      <c r="E4" s="30"/>
      <c r="F4" s="8"/>
    </row>
    <row r="5" spans="1:6" ht="17.399999999999999" x14ac:dyDescent="0.3">
      <c r="A5" s="7" t="s">
        <v>91</v>
      </c>
      <c r="B5" s="89">
        <f>'Qh-JAN'!E54</f>
        <v>1149.4679315526237</v>
      </c>
      <c r="C5" s="89"/>
      <c r="D5" s="7" t="s">
        <v>91</v>
      </c>
      <c r="E5" s="90">
        <f>'Qh-JAN'!E107</f>
        <v>1472.3779423820761</v>
      </c>
      <c r="F5" s="8"/>
    </row>
    <row r="6" spans="1:6" ht="17.399999999999999" x14ac:dyDescent="0.3">
      <c r="A6" s="7" t="s">
        <v>92</v>
      </c>
      <c r="B6" s="89">
        <f>'Qh-FEB'!E54</f>
        <v>951.22355113978529</v>
      </c>
      <c r="C6" s="89"/>
      <c r="D6" s="7" t="s">
        <v>92</v>
      </c>
      <c r="E6" s="90">
        <f>'Qh-FEB'!E107</f>
        <v>1225.3666383201708</v>
      </c>
      <c r="F6" s="8"/>
    </row>
    <row r="7" spans="1:6" ht="17.399999999999999" x14ac:dyDescent="0.3">
      <c r="A7" s="7" t="s">
        <v>93</v>
      </c>
      <c r="B7" s="89">
        <f>'Qh-MAR'!E54</f>
        <v>628.29118244085305</v>
      </c>
      <c r="C7" s="89"/>
      <c r="D7" s="7" t="s">
        <v>93</v>
      </c>
      <c r="E7" s="90">
        <f>'Qh-MAR'!E107</f>
        <v>846.41748797783816</v>
      </c>
      <c r="F7" s="8"/>
    </row>
    <row r="8" spans="1:6" ht="17.399999999999999" x14ac:dyDescent="0.3">
      <c r="A8" s="7" t="s">
        <v>94</v>
      </c>
      <c r="B8" s="89">
        <f>'Qh-APR'!E54</f>
        <v>66.238484887535492</v>
      </c>
      <c r="C8" s="89"/>
      <c r="D8" s="7" t="s">
        <v>94</v>
      </c>
      <c r="E8" s="90">
        <f>'Qh-APR'!E107</f>
        <v>134.78587038404612</v>
      </c>
      <c r="F8" s="8"/>
    </row>
    <row r="9" spans="1:6" ht="17.399999999999999" x14ac:dyDescent="0.3">
      <c r="A9" s="7" t="s">
        <v>95</v>
      </c>
      <c r="B9" s="89">
        <f>'Qh-MAI'!E54</f>
        <v>0.13824863222981776</v>
      </c>
      <c r="C9" s="89"/>
      <c r="D9" s="7" t="s">
        <v>95</v>
      </c>
      <c r="E9" s="90">
        <f>'Qh-MAI'!E107</f>
        <v>0.94781543076078378</v>
      </c>
      <c r="F9" s="8"/>
    </row>
    <row r="10" spans="1:6" ht="17.399999999999999" x14ac:dyDescent="0.3">
      <c r="A10" s="7" t="s">
        <v>96</v>
      </c>
      <c r="B10" s="89">
        <f>'Qh-JUN'!E54</f>
        <v>3.8748682072764495E-5</v>
      </c>
      <c r="C10" s="89"/>
      <c r="D10" s="7" t="s">
        <v>96</v>
      </c>
      <c r="E10" s="90">
        <f>'Qh-JUN'!E107</f>
        <v>9.1321195486671058E-4</v>
      </c>
      <c r="F10" s="8"/>
    </row>
    <row r="11" spans="1:6" ht="17.399999999999999" x14ac:dyDescent="0.3">
      <c r="A11" s="7" t="s">
        <v>97</v>
      </c>
      <c r="B11" s="89">
        <f>'Qh-JUL'!E54</f>
        <v>3.1918911957973251E-16</v>
      </c>
      <c r="C11" s="89"/>
      <c r="D11" s="7" t="s">
        <v>97</v>
      </c>
      <c r="E11" s="90">
        <f>'Qh-JUL'!E107</f>
        <v>8.1878948066105295E-16</v>
      </c>
      <c r="F11" s="8"/>
    </row>
    <row r="12" spans="1:6" ht="17.399999999999999" x14ac:dyDescent="0.3">
      <c r="A12" s="7" t="s">
        <v>98</v>
      </c>
      <c r="B12" s="89">
        <f>'Qh-AUG'!E54</f>
        <v>7.9580786405131221E-13</v>
      </c>
      <c r="C12" s="89"/>
      <c r="D12" s="7" t="s">
        <v>98</v>
      </c>
      <c r="E12" s="90">
        <f>'Qh-AUG'!E107</f>
        <v>2.8596502943400992E-10</v>
      </c>
      <c r="F12" s="8"/>
    </row>
    <row r="13" spans="1:6" ht="17.399999999999999" x14ac:dyDescent="0.3">
      <c r="A13" s="7" t="s">
        <v>99</v>
      </c>
      <c r="B13" s="89">
        <f>'Qh-SEP'!E54</f>
        <v>0.53674219773944287</v>
      </c>
      <c r="C13" s="89"/>
      <c r="D13" s="7" t="s">
        <v>99</v>
      </c>
      <c r="E13" s="90">
        <f>'Qh-SEP'!E107</f>
        <v>3.177274719295724</v>
      </c>
      <c r="F13" s="8"/>
    </row>
    <row r="14" spans="1:6" ht="17.399999999999999" x14ac:dyDescent="0.3">
      <c r="A14" s="7" t="s">
        <v>100</v>
      </c>
      <c r="B14" s="89">
        <f>'Qh-OKT'!E54</f>
        <v>212.13452260561223</v>
      </c>
      <c r="C14" s="89"/>
      <c r="D14" s="7" t="s">
        <v>100</v>
      </c>
      <c r="E14" s="90">
        <f>'Qh-OKT'!E107</f>
        <v>340.11488141562529</v>
      </c>
      <c r="F14" s="8"/>
    </row>
    <row r="15" spans="1:6" ht="17.399999999999999" x14ac:dyDescent="0.3">
      <c r="A15" s="7" t="s">
        <v>101</v>
      </c>
      <c r="B15" s="89">
        <f>'Qh-NOV'!E54</f>
        <v>851.74692819075426</v>
      </c>
      <c r="C15" s="89"/>
      <c r="D15" s="7" t="s">
        <v>101</v>
      </c>
      <c r="E15" s="90">
        <f>'Qh-NOV'!E107</f>
        <v>1111.6422218684293</v>
      </c>
      <c r="F15" s="8"/>
    </row>
    <row r="16" spans="1:6" ht="17.399999999999999" x14ac:dyDescent="0.3">
      <c r="A16" s="108" t="s">
        <v>102</v>
      </c>
      <c r="B16" s="224">
        <f>'Qh-DEZ'!E54</f>
        <v>1222.5140962683299</v>
      </c>
      <c r="C16" s="104"/>
      <c r="D16" s="108" t="s">
        <v>102</v>
      </c>
      <c r="E16" s="91">
        <f>'Qh-DEZ'!E107</f>
        <v>1560.0438701788448</v>
      </c>
      <c r="F16" s="8"/>
    </row>
    <row r="17" spans="1:6" ht="21" x14ac:dyDescent="0.45">
      <c r="A17" s="53" t="s">
        <v>138</v>
      </c>
      <c r="B17" s="225">
        <f>SUM(B5:B16)</f>
        <v>5082.2917266641462</v>
      </c>
      <c r="C17" s="177" t="s">
        <v>399</v>
      </c>
      <c r="D17" s="53" t="s">
        <v>138</v>
      </c>
      <c r="E17" s="92">
        <f>SUM(E5:E16)</f>
        <v>6694.8749158893279</v>
      </c>
      <c r="F17" s="177" t="s">
        <v>399</v>
      </c>
    </row>
    <row r="18" spans="1:6" ht="17.399999999999999" x14ac:dyDescent="0.3">
      <c r="A18" s="7"/>
      <c r="B18" s="7"/>
      <c r="C18" s="7"/>
      <c r="D18" s="7"/>
      <c r="E18" s="7"/>
      <c r="F18" s="8"/>
    </row>
    <row r="19" spans="1:6" ht="21" x14ac:dyDescent="0.4">
      <c r="A19" s="55"/>
      <c r="B19" s="7"/>
      <c r="C19" s="7"/>
      <c r="D19" s="7"/>
      <c r="E19" s="7"/>
      <c r="F19" s="8"/>
    </row>
    <row r="20" spans="1:6" ht="17.399999999999999" x14ac:dyDescent="0.3">
      <c r="D20" s="7"/>
      <c r="E20" s="7"/>
      <c r="F20" s="8"/>
    </row>
    <row r="21" spans="1:6" ht="17.399999999999999" x14ac:dyDescent="0.3">
      <c r="C21" s="29"/>
      <c r="F21" s="8"/>
    </row>
    <row r="22" spans="1:6" ht="17.399999999999999" x14ac:dyDescent="0.3">
      <c r="C22" s="7"/>
    </row>
    <row r="23" spans="1:6" ht="17.399999999999999" x14ac:dyDescent="0.3">
      <c r="C23" s="90"/>
    </row>
    <row r="24" spans="1:6" ht="17.399999999999999" x14ac:dyDescent="0.3">
      <c r="C24" s="90"/>
    </row>
    <row r="25" spans="1:6" ht="17.399999999999999" x14ac:dyDescent="0.3">
      <c r="C25" s="90"/>
    </row>
    <row r="26" spans="1:6" ht="17.399999999999999" x14ac:dyDescent="0.3">
      <c r="C26" s="90"/>
    </row>
    <row r="27" spans="1:6" ht="17.399999999999999" x14ac:dyDescent="0.3">
      <c r="C27" s="90"/>
    </row>
    <row r="28" spans="1:6" ht="17.399999999999999" x14ac:dyDescent="0.3">
      <c r="C28" s="90"/>
    </row>
    <row r="29" spans="1:6" ht="17.399999999999999" x14ac:dyDescent="0.3">
      <c r="C29" s="90"/>
    </row>
    <row r="30" spans="1:6" ht="17.399999999999999" x14ac:dyDescent="0.3">
      <c r="C30" s="90"/>
    </row>
    <row r="31" spans="1:6" ht="17.399999999999999" x14ac:dyDescent="0.3">
      <c r="C31" s="90"/>
    </row>
    <row r="32" spans="1:6" ht="17.399999999999999" x14ac:dyDescent="0.3">
      <c r="C32" s="90"/>
    </row>
    <row r="33" spans="3:3" ht="17.399999999999999" x14ac:dyDescent="0.3">
      <c r="C33" s="90"/>
    </row>
    <row r="34" spans="3:3" ht="17.399999999999999" x14ac:dyDescent="0.3">
      <c r="C34" s="105"/>
    </row>
    <row r="35" spans="3:3" ht="17.399999999999999" x14ac:dyDescent="0.3">
      <c r="C35" s="92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horizontalDpi="4294967292" verticalDpi="300" r:id="rId1"/>
  <headerFooter alignWithMargins="0">
    <oddHeader>&amp;F</oddHeader>
    <oddFooter>&amp;A&amp;RSeite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7.6640625" customWidth="1"/>
    <col min="2" max="2" width="20.6640625" customWidth="1"/>
    <col min="3" max="3" width="10.6640625" customWidth="1"/>
    <col min="4" max="5" width="15.6640625" customWidth="1"/>
    <col min="6" max="6" width="8.88671875" customWidth="1"/>
  </cols>
  <sheetData>
    <row r="1" spans="1:6" ht="21" x14ac:dyDescent="0.4">
      <c r="A1" s="2" t="s">
        <v>23</v>
      </c>
      <c r="B1" s="7"/>
      <c r="C1" s="7"/>
      <c r="D1" s="7"/>
      <c r="E1" s="7"/>
      <c r="F1" s="8"/>
    </row>
    <row r="2" spans="1:6" ht="17.399999999999999" x14ac:dyDescent="0.3">
      <c r="F2" s="8"/>
    </row>
    <row r="3" spans="1:6" ht="17.399999999999999" x14ac:dyDescent="0.3">
      <c r="A3" s="29" t="s">
        <v>24</v>
      </c>
      <c r="B3" s="7"/>
      <c r="C3" s="7"/>
      <c r="D3" s="7"/>
      <c r="E3" s="7"/>
      <c r="F3" s="8"/>
    </row>
    <row r="4" spans="1:6" ht="17.399999999999999" x14ac:dyDescent="0.3">
      <c r="A4" s="7" t="s">
        <v>25</v>
      </c>
      <c r="B4" s="30" t="s">
        <v>27</v>
      </c>
      <c r="C4" s="7"/>
      <c r="D4" s="7"/>
      <c r="E4" s="7"/>
      <c r="F4" s="8"/>
    </row>
    <row r="5" spans="1:6" ht="17.399999999999999" x14ac:dyDescent="0.3">
      <c r="A5" s="7" t="s">
        <v>26</v>
      </c>
      <c r="B5" s="7" t="s">
        <v>471</v>
      </c>
      <c r="C5" s="7"/>
      <c r="D5" s="7"/>
      <c r="E5" s="7"/>
      <c r="F5" s="8"/>
    </row>
    <row r="6" spans="1:6" ht="17.399999999999999" x14ac:dyDescent="0.3">
      <c r="A6" s="7"/>
      <c r="B6" s="7" t="s">
        <v>28</v>
      </c>
      <c r="C6" s="7"/>
      <c r="D6" s="7"/>
      <c r="E6" s="7"/>
      <c r="F6" s="8"/>
    </row>
    <row r="7" spans="1:6" ht="17.399999999999999" x14ac:dyDescent="0.3">
      <c r="A7" s="7" t="s">
        <v>29</v>
      </c>
      <c r="B7" s="7" t="s">
        <v>355</v>
      </c>
      <c r="C7" s="7"/>
      <c r="D7" s="7"/>
      <c r="E7" s="7"/>
      <c r="F7" s="8"/>
    </row>
    <row r="8" spans="1:6" ht="17.399999999999999" x14ac:dyDescent="0.3">
      <c r="A8" s="7"/>
      <c r="B8" s="7" t="s">
        <v>471</v>
      </c>
      <c r="C8" s="7"/>
      <c r="D8" s="7"/>
      <c r="E8" s="7"/>
      <c r="F8" s="8"/>
    </row>
    <row r="9" spans="1:6" ht="17.399999999999999" x14ac:dyDescent="0.3">
      <c r="A9" s="7" t="s">
        <v>30</v>
      </c>
      <c r="B9" s="7" t="s">
        <v>354</v>
      </c>
      <c r="C9" s="7"/>
      <c r="D9" s="7"/>
      <c r="E9" s="7"/>
      <c r="F9" s="8"/>
    </row>
    <row r="10" spans="1:6" ht="17.399999999999999" x14ac:dyDescent="0.3">
      <c r="F10" s="8"/>
    </row>
    <row r="11" spans="1:6" ht="17.399999999999999" x14ac:dyDescent="0.3">
      <c r="A11" s="29" t="s">
        <v>32</v>
      </c>
      <c r="B11" s="7" t="s">
        <v>44</v>
      </c>
      <c r="C11" s="7"/>
      <c r="D11" s="7"/>
      <c r="E11" s="7"/>
      <c r="F11" s="8"/>
    </row>
    <row r="12" spans="1:6" ht="17.399999999999999" x14ac:dyDescent="0.3">
      <c r="F12" s="8"/>
    </row>
    <row r="13" spans="1:6" ht="17.399999999999999" x14ac:dyDescent="0.3">
      <c r="A13" s="29" t="s">
        <v>31</v>
      </c>
      <c r="B13" s="7"/>
      <c r="C13" s="7"/>
      <c r="D13" s="7"/>
      <c r="E13" s="7"/>
      <c r="F13" s="8"/>
    </row>
    <row r="14" spans="1:6" ht="17.399999999999999" x14ac:dyDescent="0.3">
      <c r="A14" s="7" t="s">
        <v>25</v>
      </c>
      <c r="B14" s="7" t="s">
        <v>33</v>
      </c>
      <c r="C14" s="7"/>
      <c r="D14" s="7"/>
      <c r="E14" s="7"/>
      <c r="F14" s="8"/>
    </row>
    <row r="15" spans="1:6" ht="17.399999999999999" x14ac:dyDescent="0.3">
      <c r="A15" s="7"/>
      <c r="B15" s="7" t="s">
        <v>149</v>
      </c>
      <c r="C15" s="7"/>
      <c r="D15" s="7"/>
      <c r="E15" s="7"/>
      <c r="F15" s="8"/>
    </row>
    <row r="16" spans="1:6" ht="17.399999999999999" x14ac:dyDescent="0.3">
      <c r="A16" s="7" t="s">
        <v>26</v>
      </c>
      <c r="B16" s="7" t="s">
        <v>501</v>
      </c>
      <c r="C16" s="7"/>
      <c r="D16" s="7"/>
      <c r="E16" s="7"/>
      <c r="F16" s="8"/>
    </row>
    <row r="17" spans="1:6" ht="17.399999999999999" x14ac:dyDescent="0.3">
      <c r="A17" s="7"/>
      <c r="B17" s="7" t="s">
        <v>472</v>
      </c>
      <c r="C17" s="7"/>
      <c r="D17" s="7"/>
      <c r="E17" s="7"/>
      <c r="F17" s="8"/>
    </row>
    <row r="18" spans="1:6" ht="17.399999999999999" x14ac:dyDescent="0.3">
      <c r="A18" s="7"/>
      <c r="B18" s="7" t="s">
        <v>473</v>
      </c>
      <c r="C18" s="7"/>
      <c r="D18" s="7"/>
      <c r="E18" s="7"/>
      <c r="F18" s="8"/>
    </row>
    <row r="19" spans="1:6" ht="17.399999999999999" x14ac:dyDescent="0.3">
      <c r="A19" s="7"/>
      <c r="B19" s="7" t="s">
        <v>148</v>
      </c>
      <c r="C19" s="7"/>
      <c r="D19" s="7"/>
      <c r="E19" s="7"/>
      <c r="F19" s="8"/>
    </row>
    <row r="20" spans="1:6" ht="17.399999999999999" x14ac:dyDescent="0.3">
      <c r="A20" s="7" t="s">
        <v>29</v>
      </c>
      <c r="B20" s="7" t="s">
        <v>353</v>
      </c>
      <c r="C20" s="7"/>
      <c r="D20" s="7"/>
      <c r="E20" s="7"/>
      <c r="F20" s="8"/>
    </row>
    <row r="21" spans="1:6" ht="17.399999999999999" x14ac:dyDescent="0.3">
      <c r="A21" s="7"/>
      <c r="B21" s="7" t="s">
        <v>474</v>
      </c>
      <c r="C21" s="7"/>
      <c r="D21" s="7"/>
      <c r="E21" s="7"/>
      <c r="F21" s="8"/>
    </row>
    <row r="22" spans="1:6" ht="17.399999999999999" x14ac:dyDescent="0.3">
      <c r="A22" s="7" t="s">
        <v>30</v>
      </c>
      <c r="B22" s="29" t="s">
        <v>356</v>
      </c>
      <c r="C22" s="7"/>
      <c r="D22" s="7"/>
      <c r="E22" s="7"/>
      <c r="F22" s="8"/>
    </row>
    <row r="23" spans="1:6" ht="17.399999999999999" x14ac:dyDescent="0.3">
      <c r="B23" s="7" t="s">
        <v>425</v>
      </c>
      <c r="F23" s="8"/>
    </row>
    <row r="24" spans="1:6" ht="17.399999999999999" x14ac:dyDescent="0.3">
      <c r="B24" s="7" t="s">
        <v>502</v>
      </c>
      <c r="C24" s="195"/>
      <c r="D24" s="195"/>
      <c r="E24" s="195"/>
    </row>
    <row r="27" spans="1:6" ht="21" x14ac:dyDescent="0.4">
      <c r="A27" s="55" t="s">
        <v>145</v>
      </c>
      <c r="B27" s="109"/>
    </row>
    <row r="28" spans="1:6" x14ac:dyDescent="0.25">
      <c r="A28" s="110"/>
      <c r="B28" s="110"/>
    </row>
    <row r="29" spans="1:6" ht="17.399999999999999" x14ac:dyDescent="0.3">
      <c r="A29" s="106" t="s">
        <v>24</v>
      </c>
      <c r="B29" s="109"/>
    </row>
    <row r="30" spans="1:6" ht="17.399999999999999" x14ac:dyDescent="0.3">
      <c r="A30" s="109" t="s">
        <v>25</v>
      </c>
      <c r="B30" s="111" t="s">
        <v>27</v>
      </c>
    </row>
    <row r="31" spans="1:6" ht="17.399999999999999" x14ac:dyDescent="0.3">
      <c r="A31" s="109" t="s">
        <v>26</v>
      </c>
      <c r="B31" s="109" t="s">
        <v>146</v>
      </c>
    </row>
    <row r="32" spans="1:6" ht="17.399999999999999" x14ac:dyDescent="0.3">
      <c r="A32" s="109"/>
      <c r="B32" s="109" t="s">
        <v>28</v>
      </c>
    </row>
    <row r="33" spans="1:2" ht="17.399999999999999" x14ac:dyDescent="0.3">
      <c r="A33" s="109" t="s">
        <v>29</v>
      </c>
      <c r="B33" s="109" t="s">
        <v>140</v>
      </c>
    </row>
    <row r="34" spans="1:2" ht="17.399999999999999" x14ac:dyDescent="0.3">
      <c r="A34" s="109"/>
      <c r="B34" s="109" t="s">
        <v>146</v>
      </c>
    </row>
    <row r="35" spans="1:2" ht="17.399999999999999" x14ac:dyDescent="0.3">
      <c r="A35" s="109" t="s">
        <v>30</v>
      </c>
      <c r="B35" s="109" t="s">
        <v>139</v>
      </c>
    </row>
    <row r="36" spans="1:2" x14ac:dyDescent="0.25">
      <c r="A36" s="110"/>
      <c r="B36" s="110"/>
    </row>
    <row r="37" spans="1:2" ht="17.399999999999999" x14ac:dyDescent="0.3">
      <c r="A37" s="106" t="s">
        <v>32</v>
      </c>
      <c r="B37" s="109" t="s">
        <v>147</v>
      </c>
    </row>
    <row r="38" spans="1:2" ht="17.399999999999999" x14ac:dyDescent="0.3">
      <c r="A38" s="106"/>
      <c r="B38" s="111" t="s">
        <v>238</v>
      </c>
    </row>
    <row r="39" spans="1:2" x14ac:dyDescent="0.25">
      <c r="A39" s="110"/>
      <c r="B39" s="110"/>
    </row>
    <row r="40" spans="1:2" ht="17.399999999999999" x14ac:dyDescent="0.3">
      <c r="A40" s="106" t="s">
        <v>31</v>
      </c>
      <c r="B40" s="109"/>
    </row>
    <row r="41" spans="1:2" ht="17.399999999999999" x14ac:dyDescent="0.3">
      <c r="A41" s="109" t="s">
        <v>25</v>
      </c>
      <c r="B41" s="109" t="s">
        <v>33</v>
      </c>
    </row>
    <row r="42" spans="1:2" ht="17.399999999999999" x14ac:dyDescent="0.3">
      <c r="A42" s="109"/>
      <c r="B42" s="109" t="s">
        <v>149</v>
      </c>
    </row>
    <row r="43" spans="1:2" ht="17.399999999999999" x14ac:dyDescent="0.3">
      <c r="A43" s="109" t="s">
        <v>26</v>
      </c>
      <c r="B43" s="109" t="s">
        <v>34</v>
      </c>
    </row>
    <row r="44" spans="1:2" ht="17.399999999999999" x14ac:dyDescent="0.3">
      <c r="A44" s="109"/>
      <c r="B44" s="109" t="s">
        <v>150</v>
      </c>
    </row>
    <row r="45" spans="1:2" ht="17.399999999999999" x14ac:dyDescent="0.3">
      <c r="A45" s="109"/>
      <c r="B45" s="109" t="s">
        <v>148</v>
      </c>
    </row>
    <row r="46" spans="1:2" ht="17.399999999999999" x14ac:dyDescent="0.3">
      <c r="A46" s="109" t="s">
        <v>29</v>
      </c>
      <c r="B46" s="109" t="s">
        <v>27</v>
      </c>
    </row>
    <row r="47" spans="1:2" ht="17.399999999999999" x14ac:dyDescent="0.3">
      <c r="A47" s="109" t="s">
        <v>30</v>
      </c>
      <c r="B47" s="109" t="s">
        <v>434</v>
      </c>
    </row>
    <row r="48" spans="1:2" ht="17.399999999999999" x14ac:dyDescent="0.3">
      <c r="A48" s="110"/>
      <c r="B48" s="109" t="s">
        <v>450</v>
      </c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scale="86" orientation="portrait" horizontalDpi="4294967293" verticalDpi="300" r:id="rId1"/>
  <headerFooter alignWithMargins="0">
    <oddHeader>&amp;F</oddHeader>
    <oddFooter>&amp;A&amp;RSeite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6640625" customWidth="1"/>
    <col min="2" max="2" width="22.6640625" customWidth="1"/>
    <col min="3" max="3" width="15.6640625" customWidth="1"/>
    <col min="4" max="4" width="8.6640625" customWidth="1"/>
    <col min="5" max="6" width="15.6640625" customWidth="1"/>
    <col min="7" max="7" width="8.6640625" customWidth="1"/>
  </cols>
  <sheetData>
    <row r="1" spans="1:7" ht="21" x14ac:dyDescent="0.4">
      <c r="A1" s="2" t="s">
        <v>268</v>
      </c>
      <c r="B1" s="7"/>
      <c r="C1" s="7"/>
      <c r="D1" s="7"/>
      <c r="E1" s="31"/>
      <c r="G1" s="8"/>
    </row>
    <row r="2" spans="1:7" x14ac:dyDescent="0.25">
      <c r="G2" s="19"/>
    </row>
    <row r="3" spans="1:7" ht="21" x14ac:dyDescent="0.45">
      <c r="A3" s="41" t="s">
        <v>281</v>
      </c>
      <c r="B3" s="129" t="s">
        <v>239</v>
      </c>
      <c r="C3" s="130"/>
      <c r="D3" s="131"/>
      <c r="E3" s="12">
        <f>A!F47</f>
        <v>121.16074560000001</v>
      </c>
      <c r="G3" s="8" t="s">
        <v>414</v>
      </c>
    </row>
    <row r="4" spans="1:7" ht="21" x14ac:dyDescent="0.45">
      <c r="A4" s="41" t="s">
        <v>284</v>
      </c>
      <c r="B4" s="44" t="s">
        <v>240</v>
      </c>
      <c r="C4" s="130"/>
      <c r="D4" s="45"/>
      <c r="E4" s="12">
        <v>12.5</v>
      </c>
      <c r="G4" s="8" t="s">
        <v>451</v>
      </c>
    </row>
    <row r="5" spans="1:7" ht="21" x14ac:dyDescent="0.45">
      <c r="A5" s="41" t="s">
        <v>310</v>
      </c>
      <c r="B5" s="132" t="s">
        <v>35</v>
      </c>
      <c r="C5" s="133"/>
      <c r="D5" s="134"/>
      <c r="E5" s="24">
        <f>E3*E4</f>
        <v>1514.5093200000001</v>
      </c>
      <c r="G5" s="8" t="s">
        <v>452</v>
      </c>
    </row>
    <row r="6" spans="1:7" ht="17.399999999999999" x14ac:dyDescent="0.3">
      <c r="G6" s="7"/>
    </row>
    <row r="7" spans="1:7" ht="21" x14ac:dyDescent="0.4">
      <c r="A7" s="2" t="s">
        <v>241</v>
      </c>
      <c r="G7" s="7"/>
    </row>
    <row r="8" spans="1:7" x14ac:dyDescent="0.25">
      <c r="G8" s="19"/>
    </row>
    <row r="9" spans="1:7" ht="21" x14ac:dyDescent="0.45">
      <c r="A9" s="41" t="s">
        <v>284</v>
      </c>
      <c r="B9" s="32" t="s">
        <v>242</v>
      </c>
      <c r="C9" s="44" t="s">
        <v>240</v>
      </c>
      <c r="D9" s="135"/>
      <c r="E9" s="12">
        <v>12.5</v>
      </c>
      <c r="G9" s="8"/>
    </row>
    <row r="10" spans="1:7" ht="21" x14ac:dyDescent="0.45">
      <c r="A10" s="41" t="s">
        <v>285</v>
      </c>
      <c r="B10" s="32" t="s">
        <v>243</v>
      </c>
      <c r="C10" s="44" t="s">
        <v>240</v>
      </c>
      <c r="D10" s="135"/>
      <c r="E10" s="12">
        <v>0</v>
      </c>
      <c r="G10" s="8"/>
    </row>
    <row r="11" spans="1:7" ht="21" x14ac:dyDescent="0.45">
      <c r="A11" s="41" t="s">
        <v>286</v>
      </c>
      <c r="B11" s="32" t="s">
        <v>244</v>
      </c>
      <c r="C11" s="44" t="s">
        <v>240</v>
      </c>
      <c r="D11" s="135"/>
      <c r="E11" s="12">
        <v>11.13</v>
      </c>
      <c r="G11" s="8"/>
    </row>
    <row r="12" spans="1:7" ht="21" x14ac:dyDescent="0.45">
      <c r="A12" s="41" t="s">
        <v>287</v>
      </c>
      <c r="B12" s="32" t="s">
        <v>245</v>
      </c>
      <c r="C12" s="44" t="s">
        <v>240</v>
      </c>
      <c r="D12" s="135"/>
      <c r="E12" s="15">
        <v>4.71</v>
      </c>
      <c r="G12" s="8"/>
    </row>
    <row r="13" spans="1:7" ht="21" x14ac:dyDescent="0.45">
      <c r="A13" s="145" t="s">
        <v>288</v>
      </c>
      <c r="B13" s="32"/>
      <c r="C13" s="44" t="s">
        <v>240</v>
      </c>
      <c r="D13" s="135"/>
      <c r="E13" s="12">
        <f>SUM(E9:E12)</f>
        <v>28.340000000000003</v>
      </c>
      <c r="G13" s="8"/>
    </row>
    <row r="14" spans="1:7" x14ac:dyDescent="0.25">
      <c r="G14" s="19"/>
    </row>
    <row r="15" spans="1:7" ht="21" x14ac:dyDescent="0.45">
      <c r="A15" s="145" t="s">
        <v>289</v>
      </c>
      <c r="B15" s="32" t="s">
        <v>246</v>
      </c>
      <c r="C15" s="44" t="s">
        <v>247</v>
      </c>
      <c r="D15" s="135"/>
      <c r="E15" s="12">
        <v>1</v>
      </c>
      <c r="F15" s="12">
        <f>1-E15</f>
        <v>0</v>
      </c>
      <c r="G15" s="8"/>
    </row>
    <row r="16" spans="1:7" ht="21" x14ac:dyDescent="0.45">
      <c r="A16" s="41" t="s">
        <v>290</v>
      </c>
      <c r="B16" s="32" t="s">
        <v>357</v>
      </c>
      <c r="C16" s="44" t="s">
        <v>247</v>
      </c>
      <c r="D16" s="135"/>
      <c r="E16" s="12">
        <v>1.48</v>
      </c>
      <c r="F16" s="12">
        <v>0</v>
      </c>
      <c r="G16" s="8"/>
    </row>
    <row r="17" spans="1:7" x14ac:dyDescent="0.25">
      <c r="G17" s="19"/>
    </row>
    <row r="18" spans="1:7" ht="21" x14ac:dyDescent="0.45">
      <c r="A18" s="41" t="s">
        <v>291</v>
      </c>
      <c r="B18" s="124" t="s">
        <v>294</v>
      </c>
      <c r="C18" s="44"/>
      <c r="D18" s="135"/>
      <c r="E18" s="12">
        <f>E13*E16*E15</f>
        <v>41.943200000000004</v>
      </c>
      <c r="F18" s="12">
        <f>E13*F16*F15</f>
        <v>0</v>
      </c>
      <c r="G18" s="8" t="s">
        <v>496</v>
      </c>
    </row>
    <row r="19" spans="1:7" ht="21" x14ac:dyDescent="0.45">
      <c r="A19" s="41" t="s">
        <v>292</v>
      </c>
      <c r="B19" s="32" t="s">
        <v>503</v>
      </c>
      <c r="C19" s="44" t="s">
        <v>247</v>
      </c>
      <c r="D19" s="135"/>
      <c r="E19" s="12">
        <v>0.2</v>
      </c>
      <c r="F19" s="12">
        <v>0</v>
      </c>
      <c r="G19" s="8"/>
    </row>
    <row r="20" spans="1:7" ht="21" x14ac:dyDescent="0.45">
      <c r="A20" s="41" t="s">
        <v>293</v>
      </c>
      <c r="B20" s="32" t="s">
        <v>295</v>
      </c>
      <c r="C20" s="44" t="s">
        <v>240</v>
      </c>
      <c r="D20" s="135"/>
      <c r="E20" s="12">
        <f>E18*E19</f>
        <v>8.3886400000000005</v>
      </c>
      <c r="F20" s="12">
        <f>F18*F19</f>
        <v>0</v>
      </c>
      <c r="G20" s="8" t="s">
        <v>417</v>
      </c>
    </row>
    <row r="21" spans="1:7" ht="17.399999999999999" x14ac:dyDescent="0.3">
      <c r="A21" s="42"/>
      <c r="B21" s="43"/>
      <c r="C21" s="43"/>
      <c r="D21" s="17"/>
      <c r="E21" s="17"/>
      <c r="G21" s="8"/>
    </row>
    <row r="22" spans="1:7" ht="21" x14ac:dyDescent="0.4">
      <c r="A22" s="2" t="s">
        <v>249</v>
      </c>
      <c r="G22" s="8"/>
    </row>
    <row r="23" spans="1:7" ht="17.399999999999999" x14ac:dyDescent="0.3">
      <c r="G23" s="7"/>
    </row>
    <row r="24" spans="1:7" ht="21" x14ac:dyDescent="0.45">
      <c r="A24" s="41" t="s">
        <v>296</v>
      </c>
      <c r="B24" s="32" t="s">
        <v>250</v>
      </c>
      <c r="C24" s="32" t="s">
        <v>240</v>
      </c>
      <c r="D24" s="12"/>
      <c r="E24" s="12">
        <v>4.9800000000000004</v>
      </c>
      <c r="G24" s="8"/>
    </row>
    <row r="25" spans="1:7" ht="21" x14ac:dyDescent="0.45">
      <c r="A25" s="41" t="s">
        <v>297</v>
      </c>
      <c r="B25" s="32" t="s">
        <v>245</v>
      </c>
      <c r="C25" s="32" t="s">
        <v>240</v>
      </c>
      <c r="D25" s="12"/>
      <c r="E25" s="15">
        <v>2.1</v>
      </c>
      <c r="G25" s="8"/>
    </row>
    <row r="26" spans="1:7" ht="21" x14ac:dyDescent="0.45">
      <c r="A26" s="41" t="s">
        <v>298</v>
      </c>
      <c r="B26" s="32"/>
      <c r="C26" s="32" t="s">
        <v>240</v>
      </c>
      <c r="D26" s="12"/>
      <c r="E26" s="12">
        <f>E24+E25</f>
        <v>7.08</v>
      </c>
      <c r="G26" s="8" t="s">
        <v>416</v>
      </c>
    </row>
    <row r="27" spans="1:7" ht="17.399999999999999" x14ac:dyDescent="0.3">
      <c r="A27" s="42"/>
      <c r="B27" s="43"/>
      <c r="C27" s="43"/>
      <c r="D27" s="17"/>
      <c r="E27" s="17"/>
      <c r="G27" s="8"/>
    </row>
    <row r="28" spans="1:7" ht="21" x14ac:dyDescent="0.4">
      <c r="A28" s="2" t="s">
        <v>251</v>
      </c>
      <c r="G28" s="8"/>
    </row>
    <row r="29" spans="1:7" ht="17.399999999999999" x14ac:dyDescent="0.3">
      <c r="G29" s="7"/>
    </row>
    <row r="30" spans="1:7" ht="21" x14ac:dyDescent="0.45">
      <c r="A30" s="41" t="s">
        <v>299</v>
      </c>
      <c r="B30" s="32" t="s">
        <v>243</v>
      </c>
      <c r="C30" s="32" t="s">
        <v>240</v>
      </c>
      <c r="D30" s="12"/>
      <c r="E30" s="12">
        <v>0</v>
      </c>
      <c r="G30" s="8"/>
    </row>
    <row r="31" spans="1:7" ht="21" x14ac:dyDescent="0.45">
      <c r="A31" s="41" t="s">
        <v>300</v>
      </c>
      <c r="B31" s="32" t="s">
        <v>252</v>
      </c>
      <c r="C31" s="32" t="s">
        <v>240</v>
      </c>
      <c r="D31" s="12"/>
      <c r="E31" s="12">
        <v>1</v>
      </c>
      <c r="G31" s="8"/>
    </row>
    <row r="32" spans="1:7" ht="21" x14ac:dyDescent="0.45">
      <c r="A32" s="41" t="s">
        <v>301</v>
      </c>
      <c r="B32" s="32" t="s">
        <v>253</v>
      </c>
      <c r="C32" s="32" t="s">
        <v>240</v>
      </c>
      <c r="D32" s="12"/>
      <c r="E32" s="12">
        <v>0.1</v>
      </c>
      <c r="G32" s="7"/>
    </row>
    <row r="33" spans="1:7" ht="17.399999999999999" x14ac:dyDescent="0.3">
      <c r="G33" s="7"/>
    </row>
    <row r="34" spans="1:7" ht="21" x14ac:dyDescent="0.45">
      <c r="A34" s="145" t="s">
        <v>289</v>
      </c>
      <c r="B34" s="32" t="s">
        <v>246</v>
      </c>
      <c r="C34" s="44" t="s">
        <v>247</v>
      </c>
      <c r="D34" s="135"/>
      <c r="E34" s="12">
        <f>E15</f>
        <v>1</v>
      </c>
      <c r="F34" s="12">
        <f>1-E34</f>
        <v>0</v>
      </c>
      <c r="G34" s="7"/>
    </row>
    <row r="35" spans="1:7" ht="21" x14ac:dyDescent="0.45">
      <c r="A35" s="41" t="s">
        <v>302</v>
      </c>
      <c r="B35" s="32" t="s">
        <v>358</v>
      </c>
      <c r="C35" s="44" t="s">
        <v>240</v>
      </c>
      <c r="D35" s="135"/>
      <c r="E35" s="12">
        <v>1.91</v>
      </c>
      <c r="F35" s="12">
        <v>0</v>
      </c>
      <c r="G35" s="7"/>
    </row>
    <row r="36" spans="1:7" ht="17.399999999999999" x14ac:dyDescent="0.3">
      <c r="A36" s="41"/>
      <c r="B36" s="32"/>
      <c r="C36" s="32" t="s">
        <v>240</v>
      </c>
      <c r="D36" s="12"/>
      <c r="E36" s="12">
        <f>E34*E35</f>
        <v>1.91</v>
      </c>
      <c r="F36" s="12">
        <f>F34*F35</f>
        <v>0</v>
      </c>
      <c r="G36" s="7"/>
    </row>
    <row r="37" spans="1:7" ht="17.399999999999999" x14ac:dyDescent="0.3">
      <c r="G37" s="7"/>
    </row>
    <row r="38" spans="1:7" ht="21" x14ac:dyDescent="0.45">
      <c r="A38" s="41" t="s">
        <v>303</v>
      </c>
      <c r="B38" s="124" t="s">
        <v>306</v>
      </c>
      <c r="C38" s="44"/>
      <c r="D38" s="135"/>
      <c r="E38" s="12">
        <f>E30+E31+E32+E36+F36</f>
        <v>3.01</v>
      </c>
      <c r="G38" s="7" t="s">
        <v>418</v>
      </c>
    </row>
    <row r="39" spans="1:7" ht="21" x14ac:dyDescent="0.45">
      <c r="A39" s="41" t="s">
        <v>304</v>
      </c>
      <c r="B39" s="32" t="s">
        <v>503</v>
      </c>
      <c r="C39" s="44" t="s">
        <v>247</v>
      </c>
      <c r="D39" s="135"/>
      <c r="E39" s="12">
        <v>1.8</v>
      </c>
      <c r="G39" s="7"/>
    </row>
    <row r="40" spans="1:7" ht="21" x14ac:dyDescent="0.45">
      <c r="A40" s="41" t="s">
        <v>305</v>
      </c>
      <c r="B40" s="32" t="s">
        <v>307</v>
      </c>
      <c r="C40" s="44" t="s">
        <v>240</v>
      </c>
      <c r="D40" s="135"/>
      <c r="E40" s="12">
        <f>E38*E39</f>
        <v>5.4180000000000001</v>
      </c>
      <c r="G40" s="7" t="s">
        <v>417</v>
      </c>
    </row>
    <row r="42" spans="1:7" ht="21" x14ac:dyDescent="0.4">
      <c r="A42" s="2" t="s">
        <v>254</v>
      </c>
    </row>
    <row r="44" spans="1:7" ht="19.8" x14ac:dyDescent="0.4">
      <c r="A44" s="41" t="s">
        <v>255</v>
      </c>
      <c r="B44" s="32" t="s">
        <v>256</v>
      </c>
      <c r="C44" s="32" t="s">
        <v>308</v>
      </c>
      <c r="D44" s="12"/>
      <c r="E44" s="24">
        <f>(E18+F18)*E3</f>
        <v>5081.8693848499215</v>
      </c>
      <c r="G44" s="7" t="s">
        <v>508</v>
      </c>
    </row>
    <row r="45" spans="1:7" ht="19.8" x14ac:dyDescent="0.4">
      <c r="A45" s="41"/>
      <c r="B45" s="32" t="s">
        <v>257</v>
      </c>
      <c r="C45" s="32" t="s">
        <v>308</v>
      </c>
      <c r="D45" s="12"/>
      <c r="E45" s="24">
        <f>E38*E3</f>
        <v>364.69384425600003</v>
      </c>
      <c r="G45" s="136" t="s">
        <v>509</v>
      </c>
    </row>
    <row r="46" spans="1:7" ht="19.8" x14ac:dyDescent="0.4">
      <c r="A46" s="41" t="s">
        <v>258</v>
      </c>
      <c r="B46" s="32"/>
      <c r="C46" s="32" t="s">
        <v>309</v>
      </c>
      <c r="D46" s="12"/>
      <c r="E46" s="24">
        <f>(E20+F20+E40)*E3</f>
        <v>1672.8227966307843</v>
      </c>
      <c r="G46" s="7" t="s">
        <v>419</v>
      </c>
    </row>
    <row r="47" spans="1:7" s="66" customFormat="1" ht="17.399999999999999" x14ac:dyDescent="0.3"/>
    <row r="48" spans="1:7" s="66" customFormat="1" ht="17.399999999999999" x14ac:dyDescent="0.3"/>
    <row r="49" spans="1:7" ht="21" x14ac:dyDescent="0.4">
      <c r="A49" s="55" t="s">
        <v>350</v>
      </c>
      <c r="B49" s="7"/>
      <c r="C49" s="7"/>
      <c r="D49" s="7"/>
      <c r="E49" s="31"/>
      <c r="G49" s="8"/>
    </row>
    <row r="50" spans="1:7" x14ac:dyDescent="0.25">
      <c r="G50" s="19"/>
    </row>
    <row r="51" spans="1:7" ht="21" x14ac:dyDescent="0.45">
      <c r="A51" s="41" t="s">
        <v>281</v>
      </c>
      <c r="B51" s="129" t="s">
        <v>239</v>
      </c>
      <c r="C51" s="130"/>
      <c r="D51" s="131"/>
      <c r="E51" s="12">
        <f>A!F47</f>
        <v>121.16074560000001</v>
      </c>
      <c r="G51" s="8" t="s">
        <v>414</v>
      </c>
    </row>
    <row r="52" spans="1:7" ht="21" x14ac:dyDescent="0.45">
      <c r="A52" s="41" t="s">
        <v>284</v>
      </c>
      <c r="B52" s="44" t="s">
        <v>240</v>
      </c>
      <c r="C52" s="130"/>
      <c r="D52" s="45"/>
      <c r="E52" s="12">
        <v>12.5</v>
      </c>
      <c r="G52" s="8" t="s">
        <v>451</v>
      </c>
    </row>
    <row r="53" spans="1:7" ht="21" x14ac:dyDescent="0.45">
      <c r="A53" s="41" t="s">
        <v>310</v>
      </c>
      <c r="B53" s="132" t="s">
        <v>35</v>
      </c>
      <c r="C53" s="133"/>
      <c r="D53" s="134"/>
      <c r="E53" s="24">
        <f>E51*E52</f>
        <v>1514.5093200000001</v>
      </c>
      <c r="G53" s="8" t="s">
        <v>452</v>
      </c>
    </row>
    <row r="54" spans="1:7" ht="17.399999999999999" x14ac:dyDescent="0.3">
      <c r="G54" s="7"/>
    </row>
    <row r="55" spans="1:7" ht="21" x14ac:dyDescent="0.4">
      <c r="A55" s="2" t="s">
        <v>241</v>
      </c>
      <c r="G55" s="7"/>
    </row>
    <row r="56" spans="1:7" x14ac:dyDescent="0.25">
      <c r="G56" s="19"/>
    </row>
    <row r="57" spans="1:7" ht="21" x14ac:dyDescent="0.45">
      <c r="A57" s="41" t="s">
        <v>284</v>
      </c>
      <c r="B57" s="32" t="s">
        <v>242</v>
      </c>
      <c r="C57" s="44" t="s">
        <v>240</v>
      </c>
      <c r="D57" s="135"/>
      <c r="E57" s="12">
        <v>12.5</v>
      </c>
      <c r="G57" s="8"/>
    </row>
    <row r="58" spans="1:7" ht="21" x14ac:dyDescent="0.45">
      <c r="A58" s="41" t="s">
        <v>285</v>
      </c>
      <c r="B58" s="32" t="s">
        <v>243</v>
      </c>
      <c r="C58" s="44" t="s">
        <v>240</v>
      </c>
      <c r="D58" s="135"/>
      <c r="E58" s="12">
        <v>0</v>
      </c>
      <c r="G58" s="8"/>
    </row>
    <row r="59" spans="1:7" ht="21" x14ac:dyDescent="0.45">
      <c r="A59" s="41" t="s">
        <v>286</v>
      </c>
      <c r="B59" s="32" t="s">
        <v>244</v>
      </c>
      <c r="C59" s="44" t="s">
        <v>240</v>
      </c>
      <c r="D59" s="135"/>
      <c r="E59" s="12">
        <v>11.13</v>
      </c>
      <c r="G59" s="8"/>
    </row>
    <row r="60" spans="1:7" ht="21" x14ac:dyDescent="0.45">
      <c r="A60" s="41" t="s">
        <v>287</v>
      </c>
      <c r="B60" s="32" t="s">
        <v>245</v>
      </c>
      <c r="C60" s="44" t="s">
        <v>240</v>
      </c>
      <c r="D60" s="135"/>
      <c r="E60" s="15">
        <v>4.71</v>
      </c>
      <c r="G60" s="8"/>
    </row>
    <row r="61" spans="1:7" ht="21" x14ac:dyDescent="0.45">
      <c r="A61" s="145" t="s">
        <v>288</v>
      </c>
      <c r="B61" s="32"/>
      <c r="C61" s="44" t="s">
        <v>240</v>
      </c>
      <c r="D61" s="135"/>
      <c r="E61" s="12">
        <f>SUM(E57:E60)</f>
        <v>28.340000000000003</v>
      </c>
      <c r="G61" s="8"/>
    </row>
    <row r="62" spans="1:7" x14ac:dyDescent="0.25">
      <c r="G62" s="19"/>
    </row>
    <row r="63" spans="1:7" ht="21" x14ac:dyDescent="0.45">
      <c r="A63" s="145" t="s">
        <v>289</v>
      </c>
      <c r="B63" s="32" t="s">
        <v>246</v>
      </c>
      <c r="C63" s="44" t="s">
        <v>247</v>
      </c>
      <c r="D63" s="135"/>
      <c r="E63" s="56">
        <v>0.55000000000000004</v>
      </c>
      <c r="F63" s="56">
        <f>1-E63</f>
        <v>0.44999999999999996</v>
      </c>
      <c r="G63" s="8"/>
    </row>
    <row r="64" spans="1:7" ht="21" x14ac:dyDescent="0.45">
      <c r="A64" s="41" t="s">
        <v>290</v>
      </c>
      <c r="B64" s="32" t="s">
        <v>248</v>
      </c>
      <c r="C64" s="44" t="s">
        <v>247</v>
      </c>
      <c r="D64" s="135"/>
      <c r="E64" s="12">
        <v>0</v>
      </c>
      <c r="F64" s="12">
        <v>1.1399999999999999</v>
      </c>
      <c r="G64" s="8"/>
    </row>
    <row r="65" spans="1:7" x14ac:dyDescent="0.25">
      <c r="G65" s="19"/>
    </row>
    <row r="66" spans="1:7" ht="21" x14ac:dyDescent="0.45">
      <c r="A66" s="41" t="s">
        <v>291</v>
      </c>
      <c r="B66" s="124" t="s">
        <v>294</v>
      </c>
      <c r="C66" s="44"/>
      <c r="D66" s="135"/>
      <c r="E66" s="12">
        <f>E61*E64*E63</f>
        <v>0</v>
      </c>
      <c r="F66" s="56">
        <f>E61*F64*F63</f>
        <v>14.538419999999999</v>
      </c>
      <c r="G66" s="8" t="s">
        <v>496</v>
      </c>
    </row>
    <row r="67" spans="1:7" ht="21" x14ac:dyDescent="0.45">
      <c r="A67" s="41" t="s">
        <v>292</v>
      </c>
      <c r="B67" s="32" t="s">
        <v>503</v>
      </c>
      <c r="C67" s="44" t="s">
        <v>247</v>
      </c>
      <c r="D67" s="135"/>
      <c r="E67" s="12">
        <v>0</v>
      </c>
      <c r="F67" s="12">
        <v>1.1000000000000001</v>
      </c>
      <c r="G67" s="8"/>
    </row>
    <row r="68" spans="1:7" ht="21" x14ac:dyDescent="0.45">
      <c r="A68" s="41" t="s">
        <v>293</v>
      </c>
      <c r="B68" s="32" t="s">
        <v>295</v>
      </c>
      <c r="C68" s="44" t="s">
        <v>240</v>
      </c>
      <c r="D68" s="135"/>
      <c r="E68" s="12">
        <f>E66*E67</f>
        <v>0</v>
      </c>
      <c r="F68" s="56">
        <f>F66*F67</f>
        <v>15.992262</v>
      </c>
      <c r="G68" s="8" t="s">
        <v>417</v>
      </c>
    </row>
    <row r="69" spans="1:7" ht="17.399999999999999" x14ac:dyDescent="0.3">
      <c r="A69" s="42"/>
      <c r="B69" s="43"/>
      <c r="C69" s="43"/>
      <c r="D69" s="17"/>
      <c r="E69" s="17"/>
      <c r="G69" s="8"/>
    </row>
    <row r="70" spans="1:7" ht="21" x14ac:dyDescent="0.4">
      <c r="A70" s="2" t="s">
        <v>249</v>
      </c>
      <c r="G70" s="8"/>
    </row>
    <row r="71" spans="1:7" ht="17.399999999999999" x14ac:dyDescent="0.3">
      <c r="G71" s="7"/>
    </row>
    <row r="72" spans="1:7" ht="21" x14ac:dyDescent="0.45">
      <c r="A72" s="41" t="s">
        <v>296</v>
      </c>
      <c r="B72" s="32" t="s">
        <v>250</v>
      </c>
      <c r="C72" s="32" t="s">
        <v>240</v>
      </c>
      <c r="D72" s="12"/>
      <c r="E72" s="56">
        <v>4.9800000000000004</v>
      </c>
      <c r="G72" s="8"/>
    </row>
    <row r="73" spans="1:7" ht="21" x14ac:dyDescent="0.45">
      <c r="A73" s="41" t="s">
        <v>297</v>
      </c>
      <c r="B73" s="32" t="s">
        <v>245</v>
      </c>
      <c r="C73" s="32" t="s">
        <v>240</v>
      </c>
      <c r="D73" s="12"/>
      <c r="E73" s="146">
        <v>2.1</v>
      </c>
      <c r="G73" s="8"/>
    </row>
    <row r="74" spans="1:7" ht="21" x14ac:dyDescent="0.45">
      <c r="A74" s="41" t="s">
        <v>298</v>
      </c>
      <c r="B74" s="32"/>
      <c r="C74" s="32" t="s">
        <v>240</v>
      </c>
      <c r="D74" s="12"/>
      <c r="E74" s="56">
        <f>E72+E73</f>
        <v>7.08</v>
      </c>
      <c r="G74" s="8" t="s">
        <v>416</v>
      </c>
    </row>
    <row r="75" spans="1:7" ht="17.399999999999999" x14ac:dyDescent="0.3">
      <c r="A75" s="42"/>
      <c r="B75" s="43"/>
      <c r="C75" s="43"/>
      <c r="D75" s="17"/>
      <c r="E75" s="17"/>
      <c r="G75" s="8"/>
    </row>
    <row r="76" spans="1:7" ht="21" x14ac:dyDescent="0.4">
      <c r="A76" s="2" t="s">
        <v>251</v>
      </c>
      <c r="G76" s="8"/>
    </row>
    <row r="77" spans="1:7" ht="17.399999999999999" x14ac:dyDescent="0.3">
      <c r="G77" s="7"/>
    </row>
    <row r="78" spans="1:7" ht="21" x14ac:dyDescent="0.45">
      <c r="A78" s="41" t="s">
        <v>299</v>
      </c>
      <c r="B78" s="32" t="s">
        <v>243</v>
      </c>
      <c r="C78" s="32" t="s">
        <v>240</v>
      </c>
      <c r="D78" s="12"/>
      <c r="E78" s="12">
        <v>0</v>
      </c>
      <c r="G78" s="8"/>
    </row>
    <row r="79" spans="1:7" ht="21" x14ac:dyDescent="0.45">
      <c r="A79" s="41" t="s">
        <v>300</v>
      </c>
      <c r="B79" s="32" t="s">
        <v>252</v>
      </c>
      <c r="C79" s="32" t="s">
        <v>240</v>
      </c>
      <c r="D79" s="12"/>
      <c r="E79" s="12">
        <v>1</v>
      </c>
      <c r="G79" s="8"/>
    </row>
    <row r="80" spans="1:7" ht="21" x14ac:dyDescent="0.45">
      <c r="A80" s="41" t="s">
        <v>301</v>
      </c>
      <c r="B80" s="32" t="s">
        <v>253</v>
      </c>
      <c r="C80" s="32" t="s">
        <v>240</v>
      </c>
      <c r="D80" s="12"/>
      <c r="E80" s="12">
        <v>0.1</v>
      </c>
      <c r="G80" s="7"/>
    </row>
    <row r="81" spans="1:7" ht="17.399999999999999" x14ac:dyDescent="0.3">
      <c r="G81" s="7"/>
    </row>
    <row r="82" spans="1:7" ht="21" x14ac:dyDescent="0.45">
      <c r="A82" s="145" t="s">
        <v>289</v>
      </c>
      <c r="B82" s="32" t="s">
        <v>246</v>
      </c>
      <c r="C82" s="44" t="s">
        <v>247</v>
      </c>
      <c r="D82" s="135"/>
      <c r="E82" s="56">
        <f>E63</f>
        <v>0.55000000000000004</v>
      </c>
      <c r="F82" s="56">
        <f>1-E82</f>
        <v>0.44999999999999996</v>
      </c>
      <c r="G82" s="7"/>
    </row>
    <row r="83" spans="1:7" ht="21" x14ac:dyDescent="0.45">
      <c r="A83" s="41" t="s">
        <v>302</v>
      </c>
      <c r="B83" s="32" t="s">
        <v>248</v>
      </c>
      <c r="C83" s="44" t="s">
        <v>240</v>
      </c>
      <c r="D83" s="135"/>
      <c r="E83" s="56">
        <v>0.97</v>
      </c>
      <c r="F83" s="12">
        <v>0.27</v>
      </c>
      <c r="G83" s="7"/>
    </row>
    <row r="84" spans="1:7" ht="17.399999999999999" x14ac:dyDescent="0.3">
      <c r="A84" s="41"/>
      <c r="B84" s="32"/>
      <c r="C84" s="32" t="s">
        <v>240</v>
      </c>
      <c r="D84" s="12"/>
      <c r="E84" s="56">
        <f>E82*E83</f>
        <v>0.53349999999999997</v>
      </c>
      <c r="F84" s="56">
        <f>F82*F83</f>
        <v>0.1215</v>
      </c>
      <c r="G84" s="7"/>
    </row>
    <row r="85" spans="1:7" ht="17.399999999999999" x14ac:dyDescent="0.3">
      <c r="G85" s="7"/>
    </row>
    <row r="86" spans="1:7" ht="21" x14ac:dyDescent="0.45">
      <c r="A86" s="41" t="s">
        <v>303</v>
      </c>
      <c r="B86" s="124" t="s">
        <v>306</v>
      </c>
      <c r="C86" s="44"/>
      <c r="D86" s="135"/>
      <c r="E86" s="56">
        <f>E78+E79+E80+E84+F84</f>
        <v>1.7550000000000001</v>
      </c>
      <c r="G86" s="7" t="s">
        <v>418</v>
      </c>
    </row>
    <row r="87" spans="1:7" ht="21" x14ac:dyDescent="0.45">
      <c r="A87" s="41" t="s">
        <v>304</v>
      </c>
      <c r="B87" s="32" t="s">
        <v>503</v>
      </c>
      <c r="C87" s="44" t="s">
        <v>247</v>
      </c>
      <c r="D87" s="135"/>
      <c r="E87" s="12">
        <v>1.8</v>
      </c>
      <c r="G87" s="7"/>
    </row>
    <row r="88" spans="1:7" ht="21" x14ac:dyDescent="0.45">
      <c r="A88" s="41" t="s">
        <v>305</v>
      </c>
      <c r="B88" s="32" t="s">
        <v>307</v>
      </c>
      <c r="C88" s="44" t="s">
        <v>240</v>
      </c>
      <c r="D88" s="135"/>
      <c r="E88" s="56">
        <f>E86*E87</f>
        <v>3.1590000000000003</v>
      </c>
      <c r="G88" s="7" t="s">
        <v>417</v>
      </c>
    </row>
    <row r="90" spans="1:7" ht="21" x14ac:dyDescent="0.4">
      <c r="A90" s="2" t="s">
        <v>254</v>
      </c>
    </row>
    <row r="92" spans="1:7" ht="19.8" x14ac:dyDescent="0.4">
      <c r="A92" s="41" t="s">
        <v>255</v>
      </c>
      <c r="B92" s="32" t="s">
        <v>256</v>
      </c>
      <c r="C92" s="32" t="s">
        <v>308</v>
      </c>
      <c r="D92" s="12"/>
      <c r="E92" s="84">
        <f>(E66+F66)*E51</f>
        <v>1761.485807045952</v>
      </c>
      <c r="G92" s="7" t="s">
        <v>508</v>
      </c>
    </row>
    <row r="93" spans="1:7" ht="19.8" x14ac:dyDescent="0.4">
      <c r="A93" s="41"/>
      <c r="B93" s="32" t="s">
        <v>257</v>
      </c>
      <c r="C93" s="32" t="s">
        <v>308</v>
      </c>
      <c r="D93" s="12"/>
      <c r="E93" s="84">
        <f>E86*E51</f>
        <v>212.63710852800003</v>
      </c>
      <c r="G93" s="136" t="s">
        <v>509</v>
      </c>
    </row>
    <row r="94" spans="1:7" ht="19.8" x14ac:dyDescent="0.4">
      <c r="A94" s="41" t="s">
        <v>258</v>
      </c>
      <c r="B94" s="32"/>
      <c r="C94" s="32" t="s">
        <v>309</v>
      </c>
      <c r="D94" s="12"/>
      <c r="E94" s="84">
        <f>(E68+F68+E88)*E51</f>
        <v>2320.3811831009475</v>
      </c>
      <c r="G94" s="7" t="s">
        <v>419</v>
      </c>
    </row>
  </sheetData>
  <phoneticPr fontId="0" type="noConversion"/>
  <pageMargins left="0.78740157480314965" right="0.59055118110236227" top="0.98425196850393704" bottom="0.78740157480314965" header="0.51181102362204722" footer="0.51181102362204722"/>
  <pageSetup paperSize="9" scale="81" orientation="portrait" horizontalDpi="4294967293" verticalDpi="300" r:id="rId1"/>
  <headerFooter alignWithMargins="0">
    <oddHeader>&amp;F</oddHeader>
    <oddFooter>&amp;A&amp;RSeite &amp;P</oddFooter>
  </headerFooter>
  <rowBreaks count="1" manualBreakCount="1">
    <brk id="47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6640625" customWidth="1"/>
    <col min="2" max="2" width="22.6640625" customWidth="1"/>
    <col min="3" max="3" width="15.6640625" customWidth="1"/>
    <col min="4" max="4" width="8.6640625" customWidth="1"/>
    <col min="5" max="6" width="15.6640625" customWidth="1"/>
    <col min="7" max="7" width="8.6640625" customWidth="1"/>
  </cols>
  <sheetData>
    <row r="1" spans="1:7" ht="21" x14ac:dyDescent="0.4">
      <c r="A1" s="2" t="s">
        <v>267</v>
      </c>
      <c r="B1" s="7"/>
      <c r="C1" s="7"/>
      <c r="D1" s="7"/>
      <c r="E1" s="31"/>
      <c r="F1" s="8"/>
      <c r="G1" s="8"/>
    </row>
    <row r="3" spans="1:7" ht="21" x14ac:dyDescent="0.45">
      <c r="A3" s="41" t="s">
        <v>281</v>
      </c>
      <c r="B3" s="129" t="s">
        <v>239</v>
      </c>
      <c r="C3" s="130"/>
      <c r="D3" s="131"/>
      <c r="E3" s="12">
        <f>A!F47</f>
        <v>121.16074560000001</v>
      </c>
      <c r="F3" s="8"/>
      <c r="G3" s="8" t="s">
        <v>414</v>
      </c>
    </row>
    <row r="4" spans="1:7" ht="21" x14ac:dyDescent="0.45">
      <c r="A4" s="41" t="s">
        <v>282</v>
      </c>
      <c r="B4" s="132" t="s">
        <v>35</v>
      </c>
      <c r="C4" s="130"/>
      <c r="D4" s="45"/>
      <c r="E4" s="24">
        <f>'Qh-SUM'!B17</f>
        <v>5082.2917266641462</v>
      </c>
      <c r="F4" s="8"/>
      <c r="G4" s="8" t="s">
        <v>399</v>
      </c>
    </row>
    <row r="5" spans="1:7" ht="21" x14ac:dyDescent="0.45">
      <c r="A5" s="41" t="s">
        <v>283</v>
      </c>
      <c r="B5" s="44" t="s">
        <v>240</v>
      </c>
      <c r="C5" s="133"/>
      <c r="D5" s="134"/>
      <c r="E5" s="12">
        <f>E4/E3</f>
        <v>41.946685797418411</v>
      </c>
      <c r="F5" s="8"/>
      <c r="G5" s="8"/>
    </row>
    <row r="7" spans="1:7" ht="21" x14ac:dyDescent="0.4">
      <c r="A7" s="2" t="s">
        <v>322</v>
      </c>
    </row>
    <row r="9" spans="1:7" ht="21" x14ac:dyDescent="0.45">
      <c r="A9" s="41" t="s">
        <v>283</v>
      </c>
      <c r="B9" s="32" t="s">
        <v>242</v>
      </c>
      <c r="C9" s="44" t="s">
        <v>240</v>
      </c>
      <c r="D9" s="135"/>
      <c r="E9" s="12">
        <f>E5</f>
        <v>41.946685797418411</v>
      </c>
      <c r="F9" s="8"/>
      <c r="G9" s="8"/>
    </row>
    <row r="10" spans="1:7" ht="21" x14ac:dyDescent="0.45">
      <c r="A10" s="41" t="s">
        <v>298</v>
      </c>
      <c r="B10" s="32" t="s">
        <v>259</v>
      </c>
      <c r="C10" s="44" t="s">
        <v>240</v>
      </c>
      <c r="D10" s="135"/>
      <c r="E10" s="12">
        <f>-TabVerfTW!E26</f>
        <v>-7.08</v>
      </c>
      <c r="F10" s="8"/>
      <c r="G10" s="8"/>
    </row>
    <row r="11" spans="1:7" ht="21" x14ac:dyDescent="0.45">
      <c r="A11" s="41" t="s">
        <v>311</v>
      </c>
      <c r="B11" s="32" t="s">
        <v>260</v>
      </c>
      <c r="C11" s="44" t="s">
        <v>240</v>
      </c>
      <c r="D11" s="135"/>
      <c r="E11" s="12">
        <v>0</v>
      </c>
      <c r="F11" s="8"/>
      <c r="G11" s="8"/>
    </row>
    <row r="12" spans="1:7" ht="21" x14ac:dyDescent="0.45">
      <c r="A12" s="41" t="s">
        <v>312</v>
      </c>
      <c r="B12" s="32" t="s">
        <v>261</v>
      </c>
      <c r="C12" s="44" t="s">
        <v>240</v>
      </c>
      <c r="D12" s="135"/>
      <c r="E12" s="12">
        <v>1.1000000000000001</v>
      </c>
      <c r="F12" s="8"/>
      <c r="G12" s="8"/>
    </row>
    <row r="13" spans="1:7" ht="21" x14ac:dyDescent="0.45">
      <c r="A13" s="41" t="s">
        <v>313</v>
      </c>
      <c r="B13" s="32" t="s">
        <v>262</v>
      </c>
      <c r="C13" s="44" t="s">
        <v>240</v>
      </c>
      <c r="D13" s="135"/>
      <c r="E13" s="12">
        <v>2.72</v>
      </c>
      <c r="F13" s="8"/>
      <c r="G13" s="8"/>
    </row>
    <row r="14" spans="1:7" ht="21" x14ac:dyDescent="0.45">
      <c r="A14" s="41" t="s">
        <v>314</v>
      </c>
      <c r="B14" s="32" t="s">
        <v>263</v>
      </c>
      <c r="C14" s="44" t="s">
        <v>240</v>
      </c>
      <c r="D14" s="135"/>
      <c r="E14" s="15">
        <v>0.66</v>
      </c>
      <c r="F14" s="8"/>
      <c r="G14" s="8"/>
    </row>
    <row r="15" spans="1:7" ht="21" x14ac:dyDescent="0.45">
      <c r="A15" s="145" t="s">
        <v>315</v>
      </c>
      <c r="B15" s="32"/>
      <c r="C15" s="44" t="s">
        <v>240</v>
      </c>
      <c r="D15" s="135"/>
      <c r="E15" s="12">
        <f>SUM(E9:E14)</f>
        <v>39.346685797418409</v>
      </c>
      <c r="F15" s="8"/>
      <c r="G15" s="8"/>
    </row>
    <row r="17" spans="1:7" ht="21" x14ac:dyDescent="0.45">
      <c r="A17" s="145" t="s">
        <v>316</v>
      </c>
      <c r="B17" s="32" t="s">
        <v>264</v>
      </c>
      <c r="C17" s="44" t="s">
        <v>247</v>
      </c>
      <c r="D17" s="135"/>
      <c r="E17" s="12">
        <v>1</v>
      </c>
      <c r="F17" s="12">
        <f>1-E17</f>
        <v>0</v>
      </c>
      <c r="G17" s="8"/>
    </row>
    <row r="18" spans="1:7" ht="21" x14ac:dyDescent="0.45">
      <c r="A18" s="41" t="s">
        <v>317</v>
      </c>
      <c r="B18" s="32" t="s">
        <v>357</v>
      </c>
      <c r="C18" s="44" t="s">
        <v>247</v>
      </c>
      <c r="D18" s="135"/>
      <c r="E18" s="12">
        <v>1.48</v>
      </c>
      <c r="F18" s="12">
        <v>0</v>
      </c>
      <c r="G18" s="8"/>
    </row>
    <row r="20" spans="1:7" ht="21" x14ac:dyDescent="0.45">
      <c r="A20" s="41" t="s">
        <v>320</v>
      </c>
      <c r="B20" s="124" t="s">
        <v>318</v>
      </c>
      <c r="C20" s="44"/>
      <c r="D20" s="135"/>
      <c r="E20" s="12">
        <f>E15*E18*E17</f>
        <v>58.233094980179246</v>
      </c>
      <c r="F20" s="12">
        <f>F15*F18*F17</f>
        <v>0</v>
      </c>
      <c r="G20" s="8" t="s">
        <v>496</v>
      </c>
    </row>
    <row r="21" spans="1:7" ht="21" x14ac:dyDescent="0.45">
      <c r="A21" s="41" t="s">
        <v>292</v>
      </c>
      <c r="B21" s="32" t="s">
        <v>503</v>
      </c>
      <c r="C21" s="44" t="s">
        <v>247</v>
      </c>
      <c r="D21" s="135"/>
      <c r="E21" s="12">
        <v>0.2</v>
      </c>
      <c r="F21" s="12">
        <v>0</v>
      </c>
      <c r="G21" s="8"/>
    </row>
    <row r="22" spans="1:7" ht="21" x14ac:dyDescent="0.45">
      <c r="A22" s="41" t="s">
        <v>321</v>
      </c>
      <c r="B22" s="32" t="s">
        <v>319</v>
      </c>
      <c r="C22" s="44" t="s">
        <v>240</v>
      </c>
      <c r="D22" s="135"/>
      <c r="E22" s="12">
        <f>E20*E21</f>
        <v>11.646618996035849</v>
      </c>
      <c r="F22" s="12">
        <f>F20*F21</f>
        <v>0</v>
      </c>
      <c r="G22" s="8" t="s">
        <v>420</v>
      </c>
    </row>
    <row r="23" spans="1:7" ht="17.399999999999999" x14ac:dyDescent="0.3">
      <c r="A23" s="42"/>
      <c r="B23" s="43"/>
      <c r="C23" s="43"/>
      <c r="D23" s="17"/>
      <c r="E23" s="17"/>
      <c r="F23" s="8"/>
      <c r="G23" s="8"/>
    </row>
    <row r="24" spans="1:7" ht="21" x14ac:dyDescent="0.4">
      <c r="A24" s="2" t="s">
        <v>323</v>
      </c>
      <c r="F24" s="8"/>
      <c r="G24" s="8"/>
    </row>
    <row r="26" spans="1:7" ht="21" x14ac:dyDescent="0.45">
      <c r="A26" s="41" t="s">
        <v>324</v>
      </c>
      <c r="B26" s="32" t="s">
        <v>261</v>
      </c>
      <c r="C26" s="32" t="s">
        <v>240</v>
      </c>
      <c r="D26" s="12"/>
      <c r="E26" s="12">
        <v>0</v>
      </c>
      <c r="F26" s="8"/>
      <c r="G26" s="8"/>
    </row>
    <row r="27" spans="1:7" ht="21" x14ac:dyDescent="0.45">
      <c r="A27" s="41" t="s">
        <v>325</v>
      </c>
      <c r="B27" s="32" t="s">
        <v>266</v>
      </c>
      <c r="C27" s="32" t="s">
        <v>240</v>
      </c>
      <c r="D27" s="12"/>
      <c r="E27" s="12">
        <v>1.59</v>
      </c>
      <c r="F27" s="8"/>
      <c r="G27" s="8"/>
    </row>
    <row r="28" spans="1:7" ht="21" x14ac:dyDescent="0.45">
      <c r="A28" s="41" t="s">
        <v>326</v>
      </c>
      <c r="B28" s="32" t="s">
        <v>263</v>
      </c>
      <c r="C28" s="32" t="s">
        <v>240</v>
      </c>
      <c r="D28" s="12"/>
      <c r="E28" s="12">
        <v>0.55000000000000004</v>
      </c>
    </row>
    <row r="30" spans="1:7" ht="21" x14ac:dyDescent="0.45">
      <c r="A30" s="145" t="s">
        <v>316</v>
      </c>
      <c r="B30" s="32" t="s">
        <v>264</v>
      </c>
      <c r="C30" s="44" t="s">
        <v>247</v>
      </c>
      <c r="D30" s="135"/>
      <c r="E30" s="12">
        <f>E17</f>
        <v>1</v>
      </c>
      <c r="F30" s="12">
        <f>1-E30</f>
        <v>0</v>
      </c>
    </row>
    <row r="31" spans="1:7" ht="21" x14ac:dyDescent="0.45">
      <c r="A31" s="41" t="s">
        <v>327</v>
      </c>
      <c r="B31" s="32" t="s">
        <v>358</v>
      </c>
      <c r="C31" s="44" t="s">
        <v>240</v>
      </c>
      <c r="D31" s="135"/>
      <c r="E31" s="180">
        <v>1.91</v>
      </c>
      <c r="F31" s="12">
        <v>0</v>
      </c>
    </row>
    <row r="32" spans="1:7" ht="17.399999999999999" x14ac:dyDescent="0.3">
      <c r="A32" s="32"/>
      <c r="B32" s="32"/>
      <c r="C32" s="32" t="s">
        <v>240</v>
      </c>
      <c r="D32" s="12"/>
      <c r="E32" s="12">
        <f>E30*E31</f>
        <v>1.91</v>
      </c>
      <c r="F32" s="12">
        <f>F30*F31</f>
        <v>0</v>
      </c>
    </row>
    <row r="34" spans="1:7" ht="21" x14ac:dyDescent="0.45">
      <c r="A34" s="41" t="s">
        <v>328</v>
      </c>
      <c r="B34" s="124" t="s">
        <v>330</v>
      </c>
      <c r="C34" s="32" t="s">
        <v>240</v>
      </c>
      <c r="D34" s="135"/>
      <c r="E34" s="12">
        <f>E26+E27+E28+E32+F32</f>
        <v>4.05</v>
      </c>
      <c r="F34" s="7"/>
      <c r="G34" s="7" t="s">
        <v>421</v>
      </c>
    </row>
    <row r="35" spans="1:7" ht="21" x14ac:dyDescent="0.45">
      <c r="A35" s="41" t="s">
        <v>304</v>
      </c>
      <c r="B35" s="32" t="s">
        <v>503</v>
      </c>
      <c r="C35" s="44" t="s">
        <v>247</v>
      </c>
      <c r="D35" s="135"/>
      <c r="E35" s="12">
        <v>1.8</v>
      </c>
      <c r="F35" s="7"/>
      <c r="G35" s="7"/>
    </row>
    <row r="36" spans="1:7" ht="21" x14ac:dyDescent="0.45">
      <c r="A36" s="41" t="s">
        <v>329</v>
      </c>
      <c r="B36" s="32" t="s">
        <v>331</v>
      </c>
      <c r="C36" s="44" t="s">
        <v>240</v>
      </c>
      <c r="D36" s="135"/>
      <c r="E36" s="12">
        <f>E34*E35</f>
        <v>7.29</v>
      </c>
      <c r="F36" s="7"/>
      <c r="G36" s="7" t="s">
        <v>420</v>
      </c>
    </row>
    <row r="38" spans="1:7" ht="21" x14ac:dyDescent="0.4">
      <c r="A38" s="2" t="s">
        <v>254</v>
      </c>
    </row>
    <row r="40" spans="1:7" ht="19.8" x14ac:dyDescent="0.4">
      <c r="A40" s="41" t="s">
        <v>255</v>
      </c>
      <c r="B40" s="32" t="s">
        <v>256</v>
      </c>
      <c r="C40" s="32" t="s">
        <v>332</v>
      </c>
      <c r="D40" s="12"/>
      <c r="E40" s="24">
        <f>(E20+F20)*E3</f>
        <v>7055.5652063941352</v>
      </c>
      <c r="F40" s="7"/>
      <c r="G40" s="7" t="s">
        <v>510</v>
      </c>
    </row>
    <row r="41" spans="1:7" ht="19.8" x14ac:dyDescent="0.4">
      <c r="A41" s="41"/>
      <c r="B41" s="32" t="s">
        <v>257</v>
      </c>
      <c r="C41" s="32" t="s">
        <v>333</v>
      </c>
      <c r="D41" s="12"/>
      <c r="E41" s="24">
        <f>E34*E3</f>
        <v>490.70101968</v>
      </c>
      <c r="F41" s="136"/>
      <c r="G41" s="136" t="s">
        <v>511</v>
      </c>
    </row>
    <row r="42" spans="1:7" ht="19.8" x14ac:dyDescent="0.4">
      <c r="A42" s="41" t="s">
        <v>258</v>
      </c>
      <c r="B42" s="32"/>
      <c r="C42" s="32" t="s">
        <v>334</v>
      </c>
      <c r="D42" s="12"/>
      <c r="E42" s="24">
        <f>(E22+F22+E36)*E3</f>
        <v>2294.3748767028274</v>
      </c>
      <c r="F42" s="7"/>
      <c r="G42" s="7" t="s">
        <v>422</v>
      </c>
    </row>
    <row r="43" spans="1:7" s="66" customFormat="1" ht="17.399999999999999" x14ac:dyDescent="0.3"/>
    <row r="44" spans="1:7" s="66" customFormat="1" ht="17.399999999999999" x14ac:dyDescent="0.3"/>
    <row r="45" spans="1:7" ht="21" x14ac:dyDescent="0.4">
      <c r="A45" s="55" t="s">
        <v>351</v>
      </c>
      <c r="B45" s="7"/>
      <c r="C45" s="7"/>
      <c r="D45" s="7"/>
      <c r="E45" s="31"/>
      <c r="F45" s="8"/>
      <c r="G45" s="8"/>
    </row>
    <row r="47" spans="1:7" ht="21" x14ac:dyDescent="0.45">
      <c r="A47" s="41" t="s">
        <v>281</v>
      </c>
      <c r="B47" s="129" t="s">
        <v>239</v>
      </c>
      <c r="C47" s="130"/>
      <c r="D47" s="131"/>
      <c r="E47" s="12">
        <f>A!F47</f>
        <v>121.16074560000001</v>
      </c>
      <c r="F47" s="8"/>
      <c r="G47" s="8" t="s">
        <v>414</v>
      </c>
    </row>
    <row r="48" spans="1:7" ht="21" x14ac:dyDescent="0.45">
      <c r="A48" s="41" t="s">
        <v>282</v>
      </c>
      <c r="B48" s="132" t="s">
        <v>35</v>
      </c>
      <c r="C48" s="130"/>
      <c r="D48" s="45"/>
      <c r="E48" s="84">
        <f>'Qh-SUM'!E17</f>
        <v>6694.8749158893279</v>
      </c>
      <c r="F48" s="8"/>
      <c r="G48" s="8" t="s">
        <v>399</v>
      </c>
    </row>
    <row r="49" spans="1:7" ht="21" x14ac:dyDescent="0.45">
      <c r="A49" s="41" t="s">
        <v>283</v>
      </c>
      <c r="B49" s="44" t="s">
        <v>240</v>
      </c>
      <c r="C49" s="133"/>
      <c r="D49" s="134"/>
      <c r="E49" s="56">
        <f>E48/E47</f>
        <v>55.256138303999734</v>
      </c>
      <c r="F49" s="8"/>
      <c r="G49" s="8"/>
    </row>
    <row r="51" spans="1:7" ht="21" x14ac:dyDescent="0.4">
      <c r="A51" s="2" t="s">
        <v>322</v>
      </c>
    </row>
    <row r="53" spans="1:7" ht="21" x14ac:dyDescent="0.45">
      <c r="A53" s="41" t="s">
        <v>283</v>
      </c>
      <c r="B53" s="32" t="s">
        <v>242</v>
      </c>
      <c r="C53" s="44" t="s">
        <v>240</v>
      </c>
      <c r="D53" s="135"/>
      <c r="E53" s="56">
        <f>E49</f>
        <v>55.256138303999734</v>
      </c>
      <c r="F53" s="8"/>
      <c r="G53" s="8"/>
    </row>
    <row r="54" spans="1:7" ht="21" x14ac:dyDescent="0.45">
      <c r="A54" s="41" t="s">
        <v>298</v>
      </c>
      <c r="B54" s="32" t="s">
        <v>259</v>
      </c>
      <c r="C54" s="44" t="s">
        <v>240</v>
      </c>
      <c r="D54" s="135"/>
      <c r="E54" s="56">
        <f>-TabVerfTW!E74</f>
        <v>-7.08</v>
      </c>
      <c r="F54" s="8"/>
      <c r="G54" s="8"/>
    </row>
    <row r="55" spans="1:7" ht="21" x14ac:dyDescent="0.45">
      <c r="A55" s="41" t="s">
        <v>311</v>
      </c>
      <c r="B55" s="32" t="s">
        <v>260</v>
      </c>
      <c r="C55" s="44" t="s">
        <v>240</v>
      </c>
      <c r="D55" s="135"/>
      <c r="E55" s="12">
        <v>0</v>
      </c>
      <c r="F55" s="8"/>
      <c r="G55" s="8"/>
    </row>
    <row r="56" spans="1:7" ht="21" x14ac:dyDescent="0.45">
      <c r="A56" s="41" t="s">
        <v>312</v>
      </c>
      <c r="B56" s="32" t="s">
        <v>261</v>
      </c>
      <c r="C56" s="44" t="s">
        <v>240</v>
      </c>
      <c r="D56" s="135"/>
      <c r="E56" s="12">
        <v>1.1000000000000001</v>
      </c>
      <c r="F56" s="8"/>
      <c r="G56" s="8"/>
    </row>
    <row r="57" spans="1:7" ht="21" x14ac:dyDescent="0.45">
      <c r="A57" s="41" t="s">
        <v>313</v>
      </c>
      <c r="B57" s="32" t="s">
        <v>262</v>
      </c>
      <c r="C57" s="44" t="s">
        <v>240</v>
      </c>
      <c r="D57" s="135"/>
      <c r="E57" s="56">
        <v>1.97</v>
      </c>
      <c r="F57" s="8"/>
      <c r="G57" s="8"/>
    </row>
    <row r="58" spans="1:7" ht="21" x14ac:dyDescent="0.45">
      <c r="A58" s="41" t="s">
        <v>314</v>
      </c>
      <c r="B58" s="32" t="s">
        <v>263</v>
      </c>
      <c r="C58" s="44" t="s">
        <v>240</v>
      </c>
      <c r="D58" s="135"/>
      <c r="E58" s="146">
        <v>0</v>
      </c>
      <c r="F58" s="8"/>
      <c r="G58" s="8"/>
    </row>
    <row r="59" spans="1:7" ht="21" x14ac:dyDescent="0.45">
      <c r="A59" s="145" t="s">
        <v>315</v>
      </c>
      <c r="B59" s="32"/>
      <c r="C59" s="44" t="s">
        <v>240</v>
      </c>
      <c r="D59" s="135"/>
      <c r="E59" s="56">
        <f>SUM(E53:E58)</f>
        <v>51.246138303999736</v>
      </c>
      <c r="F59" s="8"/>
      <c r="G59" s="8"/>
    </row>
    <row r="61" spans="1:7" ht="21" x14ac:dyDescent="0.45">
      <c r="A61" s="145" t="s">
        <v>316</v>
      </c>
      <c r="B61" s="32" t="s">
        <v>264</v>
      </c>
      <c r="C61" s="44" t="s">
        <v>247</v>
      </c>
      <c r="D61" s="135"/>
      <c r="E61" s="56">
        <v>1</v>
      </c>
      <c r="F61" s="12">
        <f>1-E61</f>
        <v>0</v>
      </c>
      <c r="G61" s="8"/>
    </row>
    <row r="62" spans="1:7" ht="21" x14ac:dyDescent="0.45">
      <c r="A62" s="41" t="s">
        <v>317</v>
      </c>
      <c r="B62" s="32" t="s">
        <v>265</v>
      </c>
      <c r="C62" s="44" t="s">
        <v>247</v>
      </c>
      <c r="D62" s="135"/>
      <c r="E62" s="56">
        <v>0.97</v>
      </c>
      <c r="F62" s="12">
        <v>0</v>
      </c>
      <c r="G62" s="8"/>
    </row>
    <row r="64" spans="1:7" ht="21" x14ac:dyDescent="0.45">
      <c r="A64" s="41" t="s">
        <v>320</v>
      </c>
      <c r="B64" s="124" t="s">
        <v>318</v>
      </c>
      <c r="C64" s="44"/>
      <c r="D64" s="135"/>
      <c r="E64" s="56">
        <f>E59*E62*E61</f>
        <v>49.708754154879742</v>
      </c>
      <c r="F64" s="12">
        <f>F59*F62*F61</f>
        <v>0</v>
      </c>
      <c r="G64" s="8" t="s">
        <v>496</v>
      </c>
    </row>
    <row r="65" spans="1:7" ht="21" x14ac:dyDescent="0.45">
      <c r="A65" s="41" t="s">
        <v>292</v>
      </c>
      <c r="B65" s="32" t="s">
        <v>503</v>
      </c>
      <c r="C65" s="44" t="s">
        <v>247</v>
      </c>
      <c r="D65" s="135"/>
      <c r="E65" s="12">
        <v>1.1000000000000001</v>
      </c>
      <c r="F65" s="12">
        <v>0</v>
      </c>
      <c r="G65" s="8"/>
    </row>
    <row r="66" spans="1:7" ht="21" x14ac:dyDescent="0.45">
      <c r="A66" s="41" t="s">
        <v>321</v>
      </c>
      <c r="B66" s="32" t="s">
        <v>319</v>
      </c>
      <c r="C66" s="44" t="s">
        <v>240</v>
      </c>
      <c r="D66" s="135"/>
      <c r="E66" s="56">
        <f>E64*E65</f>
        <v>54.679629570367723</v>
      </c>
      <c r="F66" s="12">
        <f>F64*F65</f>
        <v>0</v>
      </c>
      <c r="G66" s="8" t="s">
        <v>420</v>
      </c>
    </row>
    <row r="67" spans="1:7" ht="17.399999999999999" x14ac:dyDescent="0.3">
      <c r="A67" s="42"/>
      <c r="B67" s="43"/>
      <c r="C67" s="43"/>
      <c r="D67" s="17"/>
      <c r="E67" s="17"/>
      <c r="F67" s="8"/>
      <c r="G67" s="8"/>
    </row>
    <row r="68" spans="1:7" ht="21" x14ac:dyDescent="0.4">
      <c r="A68" s="2" t="s">
        <v>323</v>
      </c>
      <c r="F68" s="8"/>
      <c r="G68" s="8"/>
    </row>
    <row r="70" spans="1:7" ht="21" x14ac:dyDescent="0.45">
      <c r="A70" s="41" t="s">
        <v>324</v>
      </c>
      <c r="B70" s="32" t="s">
        <v>261</v>
      </c>
      <c r="C70" s="32" t="s">
        <v>240</v>
      </c>
      <c r="D70" s="12"/>
      <c r="E70" s="12">
        <v>0</v>
      </c>
      <c r="F70" s="8"/>
      <c r="G70" s="8"/>
    </row>
    <row r="71" spans="1:7" ht="21" x14ac:dyDescent="0.45">
      <c r="A71" s="41" t="s">
        <v>325</v>
      </c>
      <c r="B71" s="32" t="s">
        <v>266</v>
      </c>
      <c r="C71" s="32" t="s">
        <v>240</v>
      </c>
      <c r="D71" s="12"/>
      <c r="E71" s="12">
        <v>1.71</v>
      </c>
      <c r="F71" s="8"/>
      <c r="G71" s="8"/>
    </row>
    <row r="72" spans="1:7" ht="21" x14ac:dyDescent="0.45">
      <c r="A72" s="41" t="s">
        <v>326</v>
      </c>
      <c r="B72" s="32" t="s">
        <v>263</v>
      </c>
      <c r="C72" s="32" t="s">
        <v>240</v>
      </c>
      <c r="D72" s="12"/>
      <c r="E72" s="56">
        <v>0</v>
      </c>
    </row>
    <row r="74" spans="1:7" ht="21" x14ac:dyDescent="0.45">
      <c r="A74" s="145" t="s">
        <v>316</v>
      </c>
      <c r="B74" s="32" t="s">
        <v>264</v>
      </c>
      <c r="C74" s="44" t="s">
        <v>247</v>
      </c>
      <c r="D74" s="135"/>
      <c r="E74" s="56">
        <f>E61</f>
        <v>1</v>
      </c>
      <c r="F74" s="12">
        <f>1-E74</f>
        <v>0</v>
      </c>
    </row>
    <row r="75" spans="1:7" ht="21" x14ac:dyDescent="0.45">
      <c r="A75" s="41" t="s">
        <v>327</v>
      </c>
      <c r="B75" s="32" t="s">
        <v>265</v>
      </c>
      <c r="C75" s="44" t="s">
        <v>240</v>
      </c>
      <c r="D75" s="135"/>
      <c r="E75" s="12">
        <v>0.73</v>
      </c>
      <c r="F75" s="12">
        <v>0</v>
      </c>
    </row>
    <row r="76" spans="1:7" ht="17.399999999999999" x14ac:dyDescent="0.3">
      <c r="A76" s="32"/>
      <c r="B76" s="32"/>
      <c r="C76" s="32" t="s">
        <v>240</v>
      </c>
      <c r="D76" s="12"/>
      <c r="E76" s="12">
        <f>E74*E75</f>
        <v>0.73</v>
      </c>
      <c r="F76" s="12">
        <f>F74*F75</f>
        <v>0</v>
      </c>
    </row>
    <row r="78" spans="1:7" ht="21" x14ac:dyDescent="0.45">
      <c r="A78" s="41" t="s">
        <v>328</v>
      </c>
      <c r="B78" s="124" t="s">
        <v>330</v>
      </c>
      <c r="C78" s="32" t="s">
        <v>240</v>
      </c>
      <c r="D78" s="135"/>
      <c r="E78" s="56">
        <f>E70+E71+E72+E76+F76</f>
        <v>2.44</v>
      </c>
      <c r="F78" s="7"/>
      <c r="G78" s="7" t="s">
        <v>421</v>
      </c>
    </row>
    <row r="79" spans="1:7" ht="21" x14ac:dyDescent="0.45">
      <c r="A79" s="41" t="s">
        <v>304</v>
      </c>
      <c r="B79" s="32" t="s">
        <v>503</v>
      </c>
      <c r="C79" s="44" t="s">
        <v>247</v>
      </c>
      <c r="D79" s="135"/>
      <c r="E79" s="12">
        <v>1.8</v>
      </c>
      <c r="F79" s="7"/>
      <c r="G79" s="7"/>
    </row>
    <row r="80" spans="1:7" ht="21" x14ac:dyDescent="0.45">
      <c r="A80" s="41" t="s">
        <v>329</v>
      </c>
      <c r="B80" s="32" t="s">
        <v>331</v>
      </c>
      <c r="C80" s="44" t="s">
        <v>240</v>
      </c>
      <c r="D80" s="135"/>
      <c r="E80" s="56">
        <f>E78*E79</f>
        <v>4.3920000000000003</v>
      </c>
      <c r="F80" s="7"/>
      <c r="G80" s="7" t="s">
        <v>420</v>
      </c>
    </row>
    <row r="82" spans="1:7" ht="21" x14ac:dyDescent="0.4">
      <c r="A82" s="2" t="s">
        <v>254</v>
      </c>
    </row>
    <row r="84" spans="1:7" ht="19.8" x14ac:dyDescent="0.4">
      <c r="A84" s="41" t="s">
        <v>255</v>
      </c>
      <c r="B84" s="32" t="s">
        <v>256</v>
      </c>
      <c r="C84" s="32" t="s">
        <v>332</v>
      </c>
      <c r="D84" s="12"/>
      <c r="E84" s="84">
        <f>(E64+F64)*E47</f>
        <v>6022.7497162523277</v>
      </c>
      <c r="F84" s="7"/>
      <c r="G84" s="7" t="s">
        <v>510</v>
      </c>
    </row>
    <row r="85" spans="1:7" ht="19.8" x14ac:dyDescent="0.4">
      <c r="A85" s="41"/>
      <c r="B85" s="32" t="s">
        <v>257</v>
      </c>
      <c r="C85" s="32" t="s">
        <v>333</v>
      </c>
      <c r="D85" s="12"/>
      <c r="E85" s="84">
        <f>E78*E47</f>
        <v>295.63221926400001</v>
      </c>
      <c r="F85" s="136"/>
      <c r="G85" s="136" t="s">
        <v>511</v>
      </c>
    </row>
    <row r="86" spans="1:7" ht="19.8" x14ac:dyDescent="0.4">
      <c r="A86" s="41" t="s">
        <v>258</v>
      </c>
      <c r="B86" s="32"/>
      <c r="C86" s="32" t="s">
        <v>334</v>
      </c>
      <c r="D86" s="12"/>
      <c r="E86" s="84">
        <f>(E66+F66+E80)*E47</f>
        <v>7157.1626825527619</v>
      </c>
      <c r="F86" s="7"/>
      <c r="G86" s="7" t="s">
        <v>422</v>
      </c>
    </row>
  </sheetData>
  <phoneticPr fontId="0" type="noConversion"/>
  <pageMargins left="0.78740157480314965" right="0.59055118110236227" top="0.98425196850393704" bottom="0.78740157480314965" header="0.51181102362204722" footer="0.51181102362204722"/>
  <pageSetup paperSize="9" scale="86" orientation="portrait" horizontalDpi="4294967293" verticalDpi="300" r:id="rId1"/>
  <headerFooter alignWithMargins="0">
    <oddHeader>&amp;F</oddHeader>
    <oddFooter>&amp;A&amp;RSeite &amp;P</oddFooter>
  </headerFooter>
  <rowBreaks count="1" manualBreakCount="1"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2" width="10.6640625" customWidth="1"/>
    <col min="3" max="6" width="15.6640625" customWidth="1"/>
    <col min="7" max="7" width="6.44140625" customWidth="1"/>
  </cols>
  <sheetData>
    <row r="1" spans="1:7" ht="21" x14ac:dyDescent="0.4">
      <c r="A1" s="2" t="s">
        <v>6</v>
      </c>
    </row>
    <row r="3" spans="1:7" ht="21" x14ac:dyDescent="0.45">
      <c r="A3" s="3" t="s">
        <v>58</v>
      </c>
      <c r="B3" s="3" t="s">
        <v>7</v>
      </c>
      <c r="C3" s="3" t="s">
        <v>9</v>
      </c>
      <c r="D3" s="3" t="s">
        <v>8</v>
      </c>
      <c r="E3" s="3" t="s">
        <v>62</v>
      </c>
      <c r="F3" s="3" t="s">
        <v>62</v>
      </c>
      <c r="G3" s="39"/>
    </row>
    <row r="4" spans="1:7" ht="17.399999999999999" x14ac:dyDescent="0.3">
      <c r="A4" s="4" t="s">
        <v>226</v>
      </c>
      <c r="B4" s="13">
        <v>5</v>
      </c>
      <c r="C4" s="11">
        <v>1.26</v>
      </c>
      <c r="D4" s="11">
        <v>1.26</v>
      </c>
      <c r="E4" s="11">
        <f t="shared" ref="E4:E11" si="0">B4*C4*D4</f>
        <v>7.9379999999999997</v>
      </c>
      <c r="F4" s="11"/>
      <c r="G4" s="8"/>
    </row>
    <row r="5" spans="1:7" ht="17.399999999999999" x14ac:dyDescent="0.3">
      <c r="A5" s="4"/>
      <c r="B5" s="13">
        <v>1</v>
      </c>
      <c r="C5" s="11">
        <v>1.26</v>
      </c>
      <c r="D5" s="11">
        <v>0.51</v>
      </c>
      <c r="E5" s="11">
        <f t="shared" si="0"/>
        <v>0.64260000000000006</v>
      </c>
      <c r="F5" s="11">
        <f>E4+E5</f>
        <v>8.5806000000000004</v>
      </c>
      <c r="G5" s="8"/>
    </row>
    <row r="6" spans="1:7" ht="17.399999999999999" x14ac:dyDescent="0.3">
      <c r="A6" s="4" t="s">
        <v>227</v>
      </c>
      <c r="B6" s="13">
        <v>5</v>
      </c>
      <c r="C6" s="11">
        <v>1.26</v>
      </c>
      <c r="D6" s="11">
        <v>1.26</v>
      </c>
      <c r="E6" s="11">
        <f t="shared" si="0"/>
        <v>7.9379999999999997</v>
      </c>
      <c r="F6" s="11"/>
      <c r="G6" s="8"/>
    </row>
    <row r="7" spans="1:7" ht="17.399999999999999" x14ac:dyDescent="0.3">
      <c r="A7" s="4"/>
      <c r="B7" s="13">
        <v>1</v>
      </c>
      <c r="C7" s="11">
        <v>1.01</v>
      </c>
      <c r="D7" s="11">
        <v>2.2599999999999998</v>
      </c>
      <c r="E7" s="11">
        <f t="shared" si="0"/>
        <v>2.2826</v>
      </c>
      <c r="F7" s="11">
        <f>E6+E7</f>
        <v>10.220599999999999</v>
      </c>
      <c r="G7" s="8"/>
    </row>
    <row r="8" spans="1:7" ht="17.399999999999999" x14ac:dyDescent="0.3">
      <c r="A8" s="4" t="s">
        <v>228</v>
      </c>
      <c r="B8" s="13">
        <v>3</v>
      </c>
      <c r="C8" s="11">
        <v>1.26</v>
      </c>
      <c r="D8" s="11">
        <v>1.26</v>
      </c>
      <c r="E8" s="11">
        <f>B8*C8*D8</f>
        <v>4.7628000000000004</v>
      </c>
      <c r="F8" s="14">
        <f>E8</f>
        <v>4.7628000000000004</v>
      </c>
      <c r="G8" s="8"/>
    </row>
    <row r="9" spans="1:7" ht="17.399999999999999" x14ac:dyDescent="0.3">
      <c r="A9" s="4"/>
      <c r="B9" s="13"/>
      <c r="C9" s="11"/>
      <c r="D9" s="11"/>
      <c r="E9" s="11"/>
      <c r="F9" s="12">
        <f>SUM(F4:F8)</f>
        <v>23.564</v>
      </c>
      <c r="G9" s="8"/>
    </row>
    <row r="10" spans="1:7" ht="17.399999999999999" x14ac:dyDescent="0.3">
      <c r="A10" s="4" t="s">
        <v>229</v>
      </c>
      <c r="B10" s="13">
        <v>2</v>
      </c>
      <c r="C10" s="11">
        <v>1.26</v>
      </c>
      <c r="D10" s="11">
        <v>1.26</v>
      </c>
      <c r="E10" s="11">
        <f t="shared" si="0"/>
        <v>3.1752000000000002</v>
      </c>
      <c r="F10" s="11"/>
      <c r="G10" s="8"/>
    </row>
    <row r="11" spans="1:7" ht="17.399999999999999" x14ac:dyDescent="0.3">
      <c r="A11" s="4"/>
      <c r="B11" s="13">
        <v>1</v>
      </c>
      <c r="C11" s="11">
        <v>1.26</v>
      </c>
      <c r="D11" s="11">
        <v>0.51</v>
      </c>
      <c r="E11" s="11">
        <f t="shared" si="0"/>
        <v>0.64260000000000006</v>
      </c>
      <c r="F11" s="12">
        <f>E10+E11</f>
        <v>3.8178000000000001</v>
      </c>
      <c r="G11" s="8"/>
    </row>
    <row r="12" spans="1:7" ht="17.399999999999999" x14ac:dyDescent="0.3">
      <c r="A12" s="4"/>
      <c r="B12" s="13"/>
      <c r="C12" s="11"/>
      <c r="D12" s="11"/>
      <c r="E12" s="11"/>
      <c r="F12" s="12"/>
      <c r="G12" s="8"/>
    </row>
    <row r="13" spans="1:7" ht="17.399999999999999" x14ac:dyDescent="0.3">
      <c r="A13" s="4" t="s">
        <v>230</v>
      </c>
      <c r="B13" s="13">
        <v>1</v>
      </c>
      <c r="C13" s="11">
        <v>2.8</v>
      </c>
      <c r="D13" s="11">
        <v>8.99</v>
      </c>
      <c r="E13" s="11">
        <f>B13*C13*D13</f>
        <v>25.172000000000001</v>
      </c>
      <c r="F13" s="11"/>
      <c r="G13" s="8"/>
    </row>
    <row r="14" spans="1:7" ht="17.399999999999999" x14ac:dyDescent="0.3">
      <c r="A14" s="4"/>
      <c r="B14" s="13">
        <v>1</v>
      </c>
      <c r="C14" s="11">
        <v>2.8</v>
      </c>
      <c r="D14" s="11">
        <v>6.99</v>
      </c>
      <c r="E14" s="11">
        <f>B14*C14*D14</f>
        <v>19.571999999999999</v>
      </c>
      <c r="F14" s="11"/>
      <c r="G14" s="8"/>
    </row>
    <row r="15" spans="1:7" ht="17.399999999999999" x14ac:dyDescent="0.3">
      <c r="A15" s="4"/>
      <c r="B15" s="13">
        <v>1</v>
      </c>
      <c r="C15" s="11">
        <v>1.2</v>
      </c>
      <c r="D15" s="11">
        <v>3.49</v>
      </c>
      <c r="E15" s="11">
        <f>B15*C15*D15</f>
        <v>4.1879999999999997</v>
      </c>
      <c r="F15" s="11"/>
      <c r="G15" s="8"/>
    </row>
    <row r="16" spans="1:7" ht="17.399999999999999" x14ac:dyDescent="0.3">
      <c r="A16" s="4"/>
      <c r="B16" s="13"/>
      <c r="C16" s="11"/>
      <c r="D16" s="11"/>
      <c r="E16" s="11">
        <f>-F5</f>
        <v>-8.5806000000000004</v>
      </c>
      <c r="F16" s="11">
        <f>SUM(E13:E16)</f>
        <v>40.351399999999998</v>
      </c>
      <c r="G16" s="8"/>
    </row>
    <row r="17" spans="1:7" ht="17.399999999999999" x14ac:dyDescent="0.3">
      <c r="A17" s="4" t="s">
        <v>231</v>
      </c>
      <c r="B17" s="13">
        <v>1</v>
      </c>
      <c r="C17" s="11">
        <v>2.8</v>
      </c>
      <c r="D17" s="11">
        <v>6.99</v>
      </c>
      <c r="E17" s="11">
        <f>B17*C17*D17</f>
        <v>19.571999999999999</v>
      </c>
      <c r="F17" s="11"/>
      <c r="G17" s="8"/>
    </row>
    <row r="18" spans="1:7" ht="17.399999999999999" x14ac:dyDescent="0.3">
      <c r="A18" s="4"/>
      <c r="B18" s="13">
        <v>1</v>
      </c>
      <c r="C18" s="11">
        <v>2.8</v>
      </c>
      <c r="D18" s="11">
        <v>6.99</v>
      </c>
      <c r="E18" s="11">
        <f>B18*C18*D18</f>
        <v>19.571999999999999</v>
      </c>
      <c r="F18" s="11"/>
      <c r="G18" s="8"/>
    </row>
    <row r="19" spans="1:7" ht="17.399999999999999" x14ac:dyDescent="0.3">
      <c r="A19" s="4"/>
      <c r="B19" s="13"/>
      <c r="C19" s="11"/>
      <c r="D19" s="11"/>
      <c r="E19" s="11">
        <f>-F7</f>
        <v>-10.220599999999999</v>
      </c>
      <c r="F19" s="11">
        <f>SUM(E17:E19)</f>
        <v>28.923400000000001</v>
      </c>
      <c r="G19" s="8"/>
    </row>
    <row r="20" spans="1:7" ht="17.399999999999999" x14ac:dyDescent="0.3">
      <c r="A20" s="4" t="s">
        <v>232</v>
      </c>
      <c r="B20" s="13">
        <v>1</v>
      </c>
      <c r="C20" s="11">
        <v>2.8</v>
      </c>
      <c r="D20" s="11">
        <v>8.99</v>
      </c>
      <c r="E20" s="11">
        <f>B20*C20*D20</f>
        <v>25.172000000000001</v>
      </c>
      <c r="F20" s="11"/>
      <c r="G20" s="8"/>
    </row>
    <row r="21" spans="1:7" ht="17.399999999999999" x14ac:dyDescent="0.3">
      <c r="A21" s="4"/>
      <c r="B21" s="13"/>
      <c r="C21" s="11"/>
      <c r="D21" s="11"/>
      <c r="E21" s="11">
        <f>-F8</f>
        <v>-4.7628000000000004</v>
      </c>
      <c r="F21" s="14">
        <f>SUM(E20:E21)</f>
        <v>20.409199999999998</v>
      </c>
      <c r="G21" s="8"/>
    </row>
    <row r="22" spans="1:7" ht="17.399999999999999" x14ac:dyDescent="0.3">
      <c r="A22" s="4"/>
      <c r="B22" s="13"/>
      <c r="C22" s="11"/>
      <c r="D22" s="11"/>
      <c r="E22" s="11"/>
      <c r="F22" s="12">
        <f>SUM(F15:F21)</f>
        <v>89.683999999999997</v>
      </c>
      <c r="G22" s="8"/>
    </row>
    <row r="23" spans="1:7" ht="17.399999999999999" x14ac:dyDescent="0.3">
      <c r="A23" s="4" t="s">
        <v>233</v>
      </c>
      <c r="B23" s="13">
        <v>1</v>
      </c>
      <c r="C23" s="11">
        <v>2.8</v>
      </c>
      <c r="D23" s="11">
        <v>6.99</v>
      </c>
      <c r="E23" s="11">
        <f>B23*C23*D23</f>
        <v>19.571999999999999</v>
      </c>
      <c r="F23" s="11"/>
      <c r="G23" s="8"/>
    </row>
    <row r="24" spans="1:7" ht="17.399999999999999" x14ac:dyDescent="0.3">
      <c r="A24" s="4"/>
      <c r="B24" s="13">
        <v>1</v>
      </c>
      <c r="C24" s="11">
        <v>1.2</v>
      </c>
      <c r="D24" s="11">
        <v>3.49</v>
      </c>
      <c r="E24" s="11">
        <f>B24*C24*D24</f>
        <v>4.1879999999999997</v>
      </c>
      <c r="F24" s="11"/>
      <c r="G24" s="8"/>
    </row>
    <row r="25" spans="1:7" ht="17.399999999999999" x14ac:dyDescent="0.3">
      <c r="A25" s="4"/>
      <c r="B25" s="13"/>
      <c r="C25" s="11"/>
      <c r="D25" s="11"/>
      <c r="E25" s="11">
        <f>-F11</f>
        <v>-3.8178000000000001</v>
      </c>
      <c r="F25" s="12">
        <f>SUM(E23:E25)</f>
        <v>19.9422</v>
      </c>
      <c r="G25" s="8"/>
    </row>
    <row r="26" spans="1:7" ht="17.399999999999999" x14ac:dyDescent="0.3">
      <c r="A26" s="4" t="s">
        <v>1</v>
      </c>
      <c r="B26" s="13">
        <v>1</v>
      </c>
      <c r="C26" s="11">
        <v>6.99</v>
      </c>
      <c r="D26" s="11">
        <v>8.99</v>
      </c>
      <c r="E26" s="11">
        <f>B26*C26*D26</f>
        <v>62.840100000000007</v>
      </c>
      <c r="F26" s="12">
        <f t="shared" ref="F26:F34" si="1">E26</f>
        <v>62.840100000000007</v>
      </c>
      <c r="G26" s="8"/>
    </row>
    <row r="27" spans="1:7" ht="17.399999999999999" x14ac:dyDescent="0.3">
      <c r="A27" s="4" t="s">
        <v>48</v>
      </c>
      <c r="B27" s="13">
        <v>1</v>
      </c>
      <c r="C27" s="11"/>
      <c r="D27" s="11"/>
      <c r="E27" s="11">
        <f>B27*C27*D27</f>
        <v>0</v>
      </c>
      <c r="F27" s="12">
        <f t="shared" si="1"/>
        <v>0</v>
      </c>
      <c r="G27" s="8"/>
    </row>
    <row r="28" spans="1:7" ht="17.399999999999999" x14ac:dyDescent="0.3">
      <c r="A28" s="4" t="s">
        <v>47</v>
      </c>
      <c r="B28" s="13">
        <v>1</v>
      </c>
      <c r="C28" s="11"/>
      <c r="D28" s="11"/>
      <c r="E28" s="11">
        <f>B28*C28*D28</f>
        <v>0</v>
      </c>
      <c r="F28" s="12"/>
      <c r="G28" s="8"/>
    </row>
    <row r="29" spans="1:7" ht="17.399999999999999" x14ac:dyDescent="0.3">
      <c r="A29" s="4"/>
      <c r="B29" s="13"/>
      <c r="C29" s="11"/>
      <c r="D29" s="11"/>
      <c r="E29" s="11">
        <f>-F27</f>
        <v>0</v>
      </c>
      <c r="F29" s="12">
        <f>E28+E29</f>
        <v>0</v>
      </c>
      <c r="G29" s="8"/>
    </row>
    <row r="30" spans="1:7" ht="17.399999999999999" x14ac:dyDescent="0.3">
      <c r="A30" s="4" t="s">
        <v>2</v>
      </c>
      <c r="B30" s="13">
        <v>1</v>
      </c>
      <c r="C30" s="11">
        <v>2</v>
      </c>
      <c r="D30" s="11">
        <v>6.99</v>
      </c>
      <c r="E30" s="11">
        <f t="shared" ref="E30:E35" si="2">B30*C30*D30</f>
        <v>13.98</v>
      </c>
      <c r="F30" s="12">
        <f t="shared" si="1"/>
        <v>13.98</v>
      </c>
      <c r="G30" s="8"/>
    </row>
    <row r="31" spans="1:7" ht="17.399999999999999" x14ac:dyDescent="0.3">
      <c r="A31" s="4" t="s">
        <v>10</v>
      </c>
      <c r="B31" s="13">
        <v>2</v>
      </c>
      <c r="C31" s="11">
        <v>1.5</v>
      </c>
      <c r="D31" s="11">
        <v>3.49</v>
      </c>
      <c r="E31" s="11">
        <f t="shared" si="2"/>
        <v>10.47</v>
      </c>
      <c r="F31" s="12">
        <f t="shared" si="1"/>
        <v>10.47</v>
      </c>
      <c r="G31" s="8"/>
    </row>
    <row r="32" spans="1:7" ht="17.399999999999999" x14ac:dyDescent="0.3">
      <c r="A32" s="4" t="s">
        <v>18</v>
      </c>
      <c r="B32" s="13">
        <v>1</v>
      </c>
      <c r="C32" s="11">
        <v>3.5</v>
      </c>
      <c r="D32" s="11">
        <v>6.99</v>
      </c>
      <c r="E32" s="11">
        <f t="shared" si="2"/>
        <v>24.465</v>
      </c>
      <c r="F32" s="12">
        <f t="shared" si="1"/>
        <v>24.465</v>
      </c>
      <c r="G32" s="8"/>
    </row>
    <row r="33" spans="1:7" ht="17.399999999999999" x14ac:dyDescent="0.3">
      <c r="A33" s="4" t="s">
        <v>19</v>
      </c>
      <c r="B33" s="13">
        <v>1</v>
      </c>
      <c r="C33" s="11">
        <v>3.49</v>
      </c>
      <c r="D33" s="11">
        <v>6.99</v>
      </c>
      <c r="E33" s="11">
        <f t="shared" si="2"/>
        <v>24.395100000000003</v>
      </c>
      <c r="F33" s="12">
        <f t="shared" si="1"/>
        <v>24.395100000000003</v>
      </c>
      <c r="G33" s="8"/>
    </row>
    <row r="34" spans="1:7" ht="17.399999999999999" x14ac:dyDescent="0.3">
      <c r="A34" s="4" t="s">
        <v>11</v>
      </c>
      <c r="B34" s="13">
        <v>1</v>
      </c>
      <c r="C34" s="11">
        <v>0.76</v>
      </c>
      <c r="D34" s="11">
        <v>2.0099999999999998</v>
      </c>
      <c r="E34" s="11">
        <f t="shared" si="2"/>
        <v>1.5275999999999998</v>
      </c>
      <c r="F34" s="12">
        <f t="shared" si="1"/>
        <v>1.5275999999999998</v>
      </c>
      <c r="G34" s="8"/>
    </row>
    <row r="35" spans="1:7" ht="17.399999999999999" x14ac:dyDescent="0.3">
      <c r="A35" s="4" t="s">
        <v>3</v>
      </c>
      <c r="B35" s="13">
        <v>1</v>
      </c>
      <c r="C35" s="11">
        <v>2.7</v>
      </c>
      <c r="D35" s="11">
        <v>6.99</v>
      </c>
      <c r="E35" s="11">
        <f t="shared" si="2"/>
        <v>18.873000000000001</v>
      </c>
      <c r="F35" s="12"/>
      <c r="G35" s="8"/>
    </row>
    <row r="36" spans="1:7" ht="17.399999999999999" x14ac:dyDescent="0.3">
      <c r="A36" s="4"/>
      <c r="B36" s="13"/>
      <c r="C36" s="11"/>
      <c r="D36" s="11"/>
      <c r="E36" s="11">
        <f>-F34</f>
        <v>-1.5275999999999998</v>
      </c>
      <c r="F36" s="15">
        <f>E35+E36</f>
        <v>17.345400000000001</v>
      </c>
      <c r="G36" s="8"/>
    </row>
    <row r="37" spans="1:7" ht="17.399999999999999" x14ac:dyDescent="0.3">
      <c r="A37" s="3"/>
      <c r="B37" s="6"/>
      <c r="C37" s="4"/>
      <c r="D37" s="12"/>
      <c r="E37" s="12" t="s">
        <v>12</v>
      </c>
      <c r="F37" s="12">
        <f>F9+F11+SUM(F22:F36)</f>
        <v>292.03120000000001</v>
      </c>
      <c r="G37" s="8"/>
    </row>
    <row r="38" spans="1:7" ht="17.399999999999999" x14ac:dyDescent="0.3">
      <c r="A38" s="16"/>
      <c r="B38" s="9"/>
      <c r="C38" s="10"/>
      <c r="D38" s="17"/>
      <c r="E38" s="17"/>
      <c r="F38" s="17"/>
      <c r="G38" s="8"/>
    </row>
    <row r="39" spans="1:7" ht="21" x14ac:dyDescent="0.4">
      <c r="A39" s="2" t="s">
        <v>13</v>
      </c>
      <c r="G39" s="8"/>
    </row>
    <row r="40" spans="1:7" ht="17.399999999999999" x14ac:dyDescent="0.3">
      <c r="G40" s="8"/>
    </row>
    <row r="41" spans="1:7" ht="21" x14ac:dyDescent="0.45">
      <c r="B41" s="3" t="s">
        <v>7</v>
      </c>
      <c r="C41" s="3" t="s">
        <v>9</v>
      </c>
      <c r="D41" s="3" t="s">
        <v>8</v>
      </c>
      <c r="E41" s="3" t="s">
        <v>8</v>
      </c>
      <c r="F41" s="3" t="s">
        <v>63</v>
      </c>
      <c r="G41" s="8"/>
    </row>
    <row r="42" spans="1:7" ht="17.399999999999999" x14ac:dyDescent="0.3">
      <c r="A42" s="4" t="s">
        <v>15</v>
      </c>
      <c r="B42" s="13">
        <v>1</v>
      </c>
      <c r="C42" s="11">
        <v>6.99</v>
      </c>
      <c r="D42" s="11">
        <v>8.99</v>
      </c>
      <c r="E42" s="11">
        <v>2.8</v>
      </c>
      <c r="F42" s="12">
        <f>C42*D42*E42</f>
        <v>175.95228</v>
      </c>
      <c r="G42" s="8"/>
    </row>
    <row r="43" spans="1:7" ht="17.399999999999999" x14ac:dyDescent="0.3">
      <c r="A43" s="4" t="s">
        <v>14</v>
      </c>
      <c r="B43" s="13">
        <v>1</v>
      </c>
      <c r="C43" s="11">
        <v>6.99</v>
      </c>
      <c r="D43" s="11">
        <v>6.99</v>
      </c>
      <c r="E43" s="11">
        <v>2.8</v>
      </c>
      <c r="F43" s="12">
        <f>C43*D43*E43</f>
        <v>136.80828</v>
      </c>
      <c r="G43" s="8"/>
    </row>
    <row r="44" spans="1:7" ht="17.399999999999999" x14ac:dyDescent="0.3">
      <c r="A44" s="4" t="s">
        <v>16</v>
      </c>
      <c r="B44" s="13">
        <v>1</v>
      </c>
      <c r="C44" s="11">
        <v>6.99</v>
      </c>
      <c r="D44" s="11">
        <v>3.49</v>
      </c>
      <c r="E44" s="11">
        <v>2.7</v>
      </c>
      <c r="F44" s="15">
        <f>C44*D44*E44</f>
        <v>65.866770000000017</v>
      </c>
      <c r="G44" s="8"/>
    </row>
    <row r="45" spans="1:7" ht="21" x14ac:dyDescent="0.45">
      <c r="A45" s="3"/>
      <c r="B45" s="6"/>
      <c r="C45" s="4"/>
      <c r="D45" s="12"/>
      <c r="E45" s="12" t="s">
        <v>66</v>
      </c>
      <c r="F45" s="12">
        <f>SUM(F42:F44)</f>
        <v>378.62733000000003</v>
      </c>
      <c r="G45" s="8"/>
    </row>
    <row r="46" spans="1:7" ht="17.399999999999999" x14ac:dyDescent="0.3">
      <c r="G46" s="8"/>
    </row>
    <row r="47" spans="1:7" ht="21.6" x14ac:dyDescent="0.45">
      <c r="A47" s="2" t="s">
        <v>17</v>
      </c>
      <c r="D47" s="12" t="s">
        <v>64</v>
      </c>
      <c r="E47" s="12" t="s">
        <v>65</v>
      </c>
      <c r="F47" s="12">
        <f>0.32*F45</f>
        <v>121.16074560000001</v>
      </c>
      <c r="G47" s="8"/>
    </row>
  </sheetData>
  <phoneticPr fontId="0" type="noConversion"/>
  <printOptions horizontalCentered="1"/>
  <pageMargins left="0.78740157480314965" right="0.39370078740157483" top="0.98425196850393704" bottom="0.78740157480314965" header="0.51181102362204722" footer="0.51181102362204722"/>
  <pageSetup paperSize="9" scale="85" orientation="portrait" horizontalDpi="4294967292" verticalDpi="300" r:id="rId1"/>
  <headerFooter alignWithMargins="0">
    <oddHeader>&amp;F</oddHeader>
    <oddFooter>&amp;A&amp;RSeite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6640625" customWidth="1"/>
    <col min="2" max="2" width="12.6640625" customWidth="1"/>
    <col min="3" max="3" width="15.6640625" customWidth="1"/>
    <col min="4" max="4" width="12.6640625" customWidth="1"/>
    <col min="5" max="5" width="15.6640625" customWidth="1"/>
    <col min="6" max="6" width="12.6640625" customWidth="1"/>
    <col min="7" max="7" width="12.33203125" customWidth="1"/>
  </cols>
  <sheetData>
    <row r="1" spans="1:7" ht="21" x14ac:dyDescent="0.4">
      <c r="A1" s="2" t="s">
        <v>280</v>
      </c>
      <c r="G1" s="39"/>
    </row>
    <row r="3" spans="1:7" ht="21" x14ac:dyDescent="0.4">
      <c r="A3" s="2" t="s">
        <v>49</v>
      </c>
      <c r="B3" s="7"/>
      <c r="C3" s="7"/>
      <c r="D3" s="7"/>
      <c r="E3" s="31"/>
      <c r="F3" s="39"/>
    </row>
    <row r="5" spans="1:7" ht="19.8" x14ac:dyDescent="0.4">
      <c r="A5" s="41"/>
      <c r="B5" s="40" t="s">
        <v>141</v>
      </c>
      <c r="C5" s="12">
        <f>A!F47</f>
        <v>121.16074560000001</v>
      </c>
      <c r="D5" s="32" t="s">
        <v>142</v>
      </c>
      <c r="E5" s="12">
        <v>185</v>
      </c>
      <c r="F5" s="46" t="s">
        <v>41</v>
      </c>
      <c r="G5" s="7"/>
    </row>
    <row r="6" spans="1:7" ht="19.8" x14ac:dyDescent="0.4">
      <c r="A6" s="41" t="s">
        <v>38</v>
      </c>
      <c r="B6" s="32" t="s">
        <v>143</v>
      </c>
      <c r="C6" s="24">
        <f>TabVerfTW!E5</f>
        <v>1514.5093200000001</v>
      </c>
      <c r="D6" s="32" t="s">
        <v>335</v>
      </c>
      <c r="E6" s="24">
        <f>TabVerfHeiz!E4</f>
        <v>5082.2917266641462</v>
      </c>
      <c r="F6" s="43" t="s">
        <v>40</v>
      </c>
      <c r="G6" s="7"/>
    </row>
    <row r="7" spans="1:7" ht="19.8" x14ac:dyDescent="0.4">
      <c r="A7" s="41" t="s">
        <v>39</v>
      </c>
      <c r="B7" s="32" t="s">
        <v>144</v>
      </c>
      <c r="C7" s="12">
        <f>TabVerfTW!E4</f>
        <v>12.5</v>
      </c>
      <c r="D7" s="32" t="s">
        <v>336</v>
      </c>
      <c r="E7" s="12">
        <f>TabVerfHeiz!E5</f>
        <v>41.946685797418411</v>
      </c>
      <c r="F7" s="54" t="s">
        <v>37</v>
      </c>
      <c r="G7" s="7"/>
    </row>
    <row r="8" spans="1:7" ht="17.399999999999999" x14ac:dyDescent="0.3">
      <c r="A8" s="42"/>
      <c r="B8" s="43"/>
      <c r="C8" s="17"/>
      <c r="D8" s="43"/>
      <c r="E8" s="17"/>
      <c r="F8" s="43"/>
      <c r="G8" s="7"/>
    </row>
    <row r="9" spans="1:7" ht="21" x14ac:dyDescent="0.4">
      <c r="A9" s="2" t="s">
        <v>42</v>
      </c>
      <c r="G9" s="7"/>
    </row>
    <row r="10" spans="1:7" x14ac:dyDescent="0.25">
      <c r="A10" s="19"/>
      <c r="B10" s="19"/>
      <c r="C10" s="19"/>
      <c r="D10" s="19"/>
      <c r="E10" s="19"/>
      <c r="F10" s="19"/>
      <c r="G10" s="19"/>
    </row>
    <row r="11" spans="1:7" ht="17.399999999999999" x14ac:dyDescent="0.3">
      <c r="A11" s="42" t="s">
        <v>242</v>
      </c>
      <c r="B11" s="43"/>
      <c r="C11" s="43"/>
      <c r="D11" s="17"/>
      <c r="E11" s="17"/>
      <c r="F11" s="8"/>
      <c r="G11" s="7"/>
    </row>
    <row r="12" spans="1:7" ht="17.399999999999999" x14ac:dyDescent="0.3">
      <c r="A12" s="42"/>
      <c r="B12" s="43"/>
      <c r="C12" s="43"/>
      <c r="D12" s="17"/>
      <c r="E12" s="17"/>
      <c r="F12" s="8"/>
      <c r="G12" s="7"/>
    </row>
    <row r="13" spans="1:7" ht="21" x14ac:dyDescent="0.4">
      <c r="A13" s="2" t="s">
        <v>43</v>
      </c>
    </row>
    <row r="14" spans="1:7" ht="21" x14ac:dyDescent="0.4">
      <c r="A14" s="2"/>
      <c r="B14" s="42" t="s">
        <v>269</v>
      </c>
      <c r="D14" s="42" t="s">
        <v>31</v>
      </c>
      <c r="F14" s="53" t="s">
        <v>32</v>
      </c>
    </row>
    <row r="15" spans="1:7" x14ac:dyDescent="0.25">
      <c r="A15" s="19"/>
      <c r="B15" s="19"/>
      <c r="C15" s="19"/>
      <c r="D15" s="19"/>
      <c r="E15" s="19"/>
      <c r="F15" s="19"/>
      <c r="G15" s="19"/>
    </row>
    <row r="16" spans="1:7" ht="19.8" x14ac:dyDescent="0.4">
      <c r="A16" s="41" t="s">
        <v>270</v>
      </c>
      <c r="B16" s="32" t="s">
        <v>337</v>
      </c>
      <c r="C16" s="12">
        <f>TabVerfTW!E26</f>
        <v>7.08</v>
      </c>
      <c r="D16" s="32" t="s">
        <v>338</v>
      </c>
      <c r="E16" s="12">
        <f>E7-C16</f>
        <v>34.866685797418413</v>
      </c>
      <c r="F16" s="32" t="s">
        <v>339</v>
      </c>
      <c r="G16" s="12">
        <v>0</v>
      </c>
    </row>
    <row r="17" spans="1:7" ht="17.399999999999999" x14ac:dyDescent="0.3">
      <c r="A17" s="42"/>
      <c r="B17" s="43"/>
      <c r="C17" s="137"/>
      <c r="D17" s="43"/>
      <c r="E17" s="137"/>
      <c r="F17" s="43"/>
      <c r="G17" s="17"/>
    </row>
    <row r="18" spans="1:7" ht="17.399999999999999" x14ac:dyDescent="0.3">
      <c r="A18" s="42" t="s">
        <v>271</v>
      </c>
      <c r="B18" s="43"/>
      <c r="D18" s="42" t="s">
        <v>272</v>
      </c>
      <c r="F18" s="138" t="s">
        <v>273</v>
      </c>
      <c r="G18" s="17"/>
    </row>
    <row r="19" spans="1:7" x14ac:dyDescent="0.25">
      <c r="A19" s="139"/>
      <c r="B19" s="47"/>
      <c r="C19" s="23"/>
      <c r="D19" s="47"/>
      <c r="E19" s="23"/>
      <c r="F19" s="47"/>
      <c r="G19" s="23"/>
    </row>
    <row r="20" spans="1:7" ht="19.8" x14ac:dyDescent="0.4">
      <c r="A20" s="41" t="s">
        <v>274</v>
      </c>
      <c r="B20" s="52" t="s">
        <v>275</v>
      </c>
      <c r="C20" s="236" t="s">
        <v>366</v>
      </c>
      <c r="D20" s="40" t="s">
        <v>340</v>
      </c>
      <c r="E20" s="24">
        <f>(TabVerfTW!E18+TabVerfTW!F18)*C5+(TabVerfHeiz!E20+TabVerfHeiz!F20)*C5</f>
        <v>12137.434591244057</v>
      </c>
      <c r="F20" s="40" t="s">
        <v>343</v>
      </c>
      <c r="G20" s="24">
        <f>(TabVerfTW!E20+TabVerfTW!F20)*C5+(TabVerfHeiz!E22+TabVerfHeiz!F22)*C5</f>
        <v>2427.486918248811</v>
      </c>
    </row>
    <row r="21" spans="1:7" ht="19.8" x14ac:dyDescent="0.4">
      <c r="A21" s="41" t="s">
        <v>276</v>
      </c>
      <c r="B21" s="52" t="s">
        <v>275</v>
      </c>
      <c r="C21" s="32"/>
      <c r="D21" s="40" t="s">
        <v>341</v>
      </c>
      <c r="E21" s="32"/>
      <c r="F21" s="40" t="s">
        <v>344</v>
      </c>
      <c r="G21" s="32"/>
    </row>
    <row r="22" spans="1:7" ht="19.8" x14ac:dyDescent="0.4">
      <c r="A22" s="41" t="s">
        <v>277</v>
      </c>
      <c r="B22" s="52" t="s">
        <v>275</v>
      </c>
      <c r="C22" s="32"/>
      <c r="D22" s="40" t="s">
        <v>342</v>
      </c>
      <c r="E22" s="32"/>
      <c r="F22" s="40" t="s">
        <v>345</v>
      </c>
      <c r="G22" s="32"/>
    </row>
    <row r="23" spans="1:7" x14ac:dyDescent="0.25">
      <c r="A23" s="139"/>
      <c r="C23" s="47"/>
      <c r="D23" s="23"/>
      <c r="E23" s="47"/>
      <c r="F23" s="23"/>
      <c r="G23" s="47"/>
    </row>
    <row r="24" spans="1:7" ht="19.8" x14ac:dyDescent="0.4">
      <c r="A24" s="41" t="s">
        <v>278</v>
      </c>
      <c r="B24" s="52" t="s">
        <v>275</v>
      </c>
      <c r="C24" s="32" t="s">
        <v>279</v>
      </c>
      <c r="D24" s="40" t="s">
        <v>348</v>
      </c>
      <c r="E24" s="24">
        <f>TabVerfTW!E38*C5+TabVerfHeiz!E34*C5</f>
        <v>855.39486393600009</v>
      </c>
      <c r="F24" s="40" t="s">
        <v>349</v>
      </c>
      <c r="G24" s="24">
        <f>TabVerfTW!E40*C5+TabVerfHeiz!E36*C5</f>
        <v>1539.7107550848002</v>
      </c>
    </row>
    <row r="25" spans="1:7" x14ac:dyDescent="0.25">
      <c r="A25" s="139"/>
      <c r="B25" s="47"/>
      <c r="C25" s="23"/>
      <c r="D25" s="47"/>
      <c r="E25" s="23"/>
      <c r="F25" s="47"/>
      <c r="G25" s="23"/>
    </row>
    <row r="26" spans="1:7" ht="21" x14ac:dyDescent="0.45">
      <c r="A26" s="41" t="s">
        <v>362</v>
      </c>
      <c r="B26" s="32"/>
      <c r="C26" s="140"/>
      <c r="D26" s="32"/>
      <c r="E26" s="24">
        <f>E20+E21+E22+E24</f>
        <v>12992.829455180057</v>
      </c>
      <c r="F26" s="10" t="s">
        <v>497</v>
      </c>
      <c r="G26" s="17"/>
    </row>
    <row r="27" spans="1:7" ht="13.2" customHeight="1" x14ac:dyDescent="0.3">
      <c r="A27" s="42"/>
      <c r="B27" s="43"/>
      <c r="C27" s="17"/>
      <c r="D27" s="43"/>
      <c r="E27" s="120"/>
      <c r="F27" s="10"/>
      <c r="G27" s="17"/>
    </row>
    <row r="28" spans="1:7" ht="21" x14ac:dyDescent="0.45">
      <c r="A28" s="41" t="s">
        <v>431</v>
      </c>
      <c r="B28" s="32"/>
      <c r="C28" s="12"/>
      <c r="D28" s="24"/>
      <c r="E28" s="12">
        <f>IF(C5=0,"",E26/C5)</f>
        <v>107.23629498017925</v>
      </c>
      <c r="F28" s="10" t="s">
        <v>497</v>
      </c>
      <c r="G28" s="17"/>
    </row>
    <row r="29" spans="1:7" ht="13.35" customHeight="1" x14ac:dyDescent="0.3">
      <c r="A29" s="42"/>
      <c r="B29" s="43"/>
      <c r="C29" s="17"/>
      <c r="D29" s="120"/>
      <c r="E29" s="226"/>
      <c r="F29" s="10"/>
      <c r="G29" s="17"/>
    </row>
    <row r="30" spans="1:7" ht="19.8" x14ac:dyDescent="0.4">
      <c r="A30" s="238" t="s">
        <v>504</v>
      </c>
      <c r="B30" s="237"/>
      <c r="C30" s="180"/>
      <c r="D30" s="179"/>
      <c r="E30" s="179">
        <f>IF(C5=0,"",E20*0.02+E24*0.56)</f>
        <v>721.7698156290412</v>
      </c>
      <c r="F30" s="10" t="s">
        <v>415</v>
      </c>
      <c r="G30" s="17"/>
    </row>
    <row r="31" spans="1:7" ht="13.35" customHeight="1" x14ac:dyDescent="0.3">
      <c r="A31" s="239"/>
      <c r="B31" s="240"/>
      <c r="C31" s="226"/>
      <c r="D31" s="241"/>
      <c r="E31" s="242"/>
      <c r="F31" s="10"/>
      <c r="G31" s="17"/>
    </row>
    <row r="32" spans="1:7" ht="18.600000000000001" x14ac:dyDescent="0.4">
      <c r="A32" s="238" t="s">
        <v>505</v>
      </c>
      <c r="B32" s="237"/>
      <c r="C32" s="180"/>
      <c r="D32" s="179"/>
      <c r="E32" s="180">
        <f>IF(C7=0,"",E30/C5)</f>
        <v>5.957125899603585</v>
      </c>
      <c r="F32" s="10" t="s">
        <v>415</v>
      </c>
      <c r="G32" s="17"/>
    </row>
    <row r="33" spans="1:7" x14ac:dyDescent="0.25">
      <c r="A33" s="139"/>
      <c r="B33" s="47"/>
      <c r="C33" s="23"/>
      <c r="D33" s="123"/>
      <c r="E33" s="47"/>
      <c r="F33" s="47"/>
      <c r="G33" s="23"/>
    </row>
    <row r="34" spans="1:7" ht="21" x14ac:dyDescent="0.45">
      <c r="A34" s="41" t="s">
        <v>363</v>
      </c>
      <c r="B34" s="32"/>
      <c r="C34" s="12"/>
      <c r="D34" s="141"/>
      <c r="E34" s="142"/>
      <c r="F34" s="178" t="s">
        <v>423</v>
      </c>
      <c r="G34" s="24">
        <f>G20+G21+G22+G24</f>
        <v>3967.1976733336114</v>
      </c>
    </row>
    <row r="35" spans="1:7" x14ac:dyDescent="0.25">
      <c r="A35" s="139"/>
      <c r="B35" s="47"/>
      <c r="C35" s="23"/>
      <c r="D35" s="123"/>
      <c r="E35" s="47"/>
      <c r="F35" s="47"/>
      <c r="G35" s="23"/>
    </row>
    <row r="36" spans="1:7" ht="21" x14ac:dyDescent="0.45">
      <c r="A36" s="41" t="s">
        <v>364</v>
      </c>
      <c r="B36" s="32"/>
      <c r="C36" s="12"/>
      <c r="D36" s="24"/>
      <c r="E36" s="44"/>
      <c r="F36" s="147" t="s">
        <v>423</v>
      </c>
      <c r="G36" s="12">
        <f>IF(C5=0,"",G34/C5)</f>
        <v>32.743258996035848</v>
      </c>
    </row>
    <row r="37" spans="1:7" x14ac:dyDescent="0.25">
      <c r="A37" s="139"/>
      <c r="B37" s="47"/>
      <c r="C37" s="23"/>
      <c r="D37" s="123"/>
      <c r="E37" s="47"/>
      <c r="F37" s="143"/>
      <c r="G37" s="47"/>
    </row>
    <row r="38" spans="1:7" ht="21" x14ac:dyDescent="0.45">
      <c r="A38" s="41" t="s">
        <v>346</v>
      </c>
      <c r="B38" s="32"/>
      <c r="C38" s="44"/>
      <c r="D38" s="144" t="s">
        <v>347</v>
      </c>
      <c r="E38" s="142"/>
      <c r="F38" s="147" t="s">
        <v>424</v>
      </c>
      <c r="G38" s="51">
        <f>IF(C6+E6=0,"",G34/(C6+E6))</f>
        <v>0.60138204036632781</v>
      </c>
    </row>
    <row r="39" spans="1:7" ht="17.399999999999999" x14ac:dyDescent="0.3">
      <c r="A39" s="7"/>
      <c r="F39" s="8"/>
    </row>
    <row r="40" spans="1:7" ht="17.399999999999999" x14ac:dyDescent="0.3">
      <c r="A40" s="7"/>
      <c r="F40" s="8"/>
    </row>
    <row r="41" spans="1:7" ht="21" x14ac:dyDescent="0.4">
      <c r="A41" s="55" t="s">
        <v>352</v>
      </c>
      <c r="G41" s="39"/>
    </row>
    <row r="43" spans="1:7" ht="21" x14ac:dyDescent="0.4">
      <c r="A43" s="2" t="s">
        <v>49</v>
      </c>
      <c r="B43" s="7"/>
      <c r="C43" s="7"/>
      <c r="D43" s="7"/>
      <c r="E43" s="31"/>
      <c r="F43" s="39"/>
    </row>
    <row r="45" spans="1:7" ht="19.8" x14ac:dyDescent="0.4">
      <c r="A45" s="41"/>
      <c r="B45" s="40" t="s">
        <v>141</v>
      </c>
      <c r="C45" s="12">
        <f>A!F47</f>
        <v>121.16074560000001</v>
      </c>
      <c r="D45" s="32" t="s">
        <v>142</v>
      </c>
      <c r="E45" s="12">
        <v>185</v>
      </c>
      <c r="F45" s="46" t="s">
        <v>41</v>
      </c>
      <c r="G45" s="7"/>
    </row>
    <row r="46" spans="1:7" ht="19.8" x14ac:dyDescent="0.4">
      <c r="A46" s="41" t="s">
        <v>38</v>
      </c>
      <c r="B46" s="32" t="s">
        <v>143</v>
      </c>
      <c r="C46" s="84">
        <f>TabVerfTW!E53</f>
        <v>1514.5093200000001</v>
      </c>
      <c r="D46" s="32" t="s">
        <v>335</v>
      </c>
      <c r="E46" s="84">
        <f>TabVerfHeiz!E48</f>
        <v>6694.8749158893279</v>
      </c>
      <c r="F46" s="43" t="s">
        <v>40</v>
      </c>
      <c r="G46" s="7"/>
    </row>
    <row r="47" spans="1:7" ht="19.8" x14ac:dyDescent="0.4">
      <c r="A47" s="41" t="s">
        <v>39</v>
      </c>
      <c r="B47" s="32" t="s">
        <v>144</v>
      </c>
      <c r="C47" s="56">
        <f>TabVerfTW!E52</f>
        <v>12.5</v>
      </c>
      <c r="D47" s="32" t="s">
        <v>336</v>
      </c>
      <c r="E47" s="56">
        <f>TabVerfHeiz!E49</f>
        <v>55.256138303999734</v>
      </c>
      <c r="F47" s="54" t="s">
        <v>37</v>
      </c>
      <c r="G47" s="7"/>
    </row>
    <row r="48" spans="1:7" ht="17.399999999999999" x14ac:dyDescent="0.3">
      <c r="A48" s="42"/>
      <c r="B48" s="43"/>
      <c r="C48" s="17"/>
      <c r="D48" s="43"/>
      <c r="E48" s="17"/>
      <c r="F48" s="43"/>
      <c r="G48" s="7"/>
    </row>
    <row r="49" spans="1:7" ht="21" x14ac:dyDescent="0.4">
      <c r="A49" s="2" t="s">
        <v>42</v>
      </c>
      <c r="G49" s="7"/>
    </row>
    <row r="50" spans="1:7" x14ac:dyDescent="0.25">
      <c r="A50" s="19"/>
      <c r="B50" s="19"/>
      <c r="C50" s="19"/>
      <c r="D50" s="19"/>
      <c r="E50" s="19"/>
      <c r="F50" s="19"/>
      <c r="G50" s="19"/>
    </row>
    <row r="51" spans="1:7" ht="17.399999999999999" x14ac:dyDescent="0.3">
      <c r="A51" s="42" t="s">
        <v>242</v>
      </c>
      <c r="B51" s="43"/>
      <c r="C51" s="43"/>
      <c r="D51" s="17"/>
      <c r="E51" s="17"/>
      <c r="F51" s="8"/>
      <c r="G51" s="7"/>
    </row>
    <row r="52" spans="1:7" ht="17.399999999999999" x14ac:dyDescent="0.3">
      <c r="A52" s="42"/>
      <c r="B52" s="43"/>
      <c r="C52" s="43"/>
      <c r="D52" s="17"/>
      <c r="E52" s="17"/>
      <c r="F52" s="8"/>
      <c r="G52" s="7"/>
    </row>
    <row r="53" spans="1:7" ht="21" x14ac:dyDescent="0.4">
      <c r="A53" s="2" t="s">
        <v>43</v>
      </c>
    </row>
    <row r="54" spans="1:7" ht="21" x14ac:dyDescent="0.4">
      <c r="A54" s="2"/>
      <c r="B54" s="42" t="s">
        <v>269</v>
      </c>
      <c r="D54" s="42" t="s">
        <v>31</v>
      </c>
      <c r="F54" s="53" t="s">
        <v>32</v>
      </c>
    </row>
    <row r="55" spans="1:7" x14ac:dyDescent="0.25">
      <c r="A55" s="19"/>
      <c r="B55" s="19"/>
      <c r="C55" s="19"/>
      <c r="D55" s="19"/>
      <c r="E55" s="19"/>
      <c r="F55" s="19"/>
      <c r="G55" s="19"/>
    </row>
    <row r="56" spans="1:7" ht="19.8" x14ac:dyDescent="0.4">
      <c r="A56" s="41" t="s">
        <v>270</v>
      </c>
      <c r="B56" s="32" t="s">
        <v>337</v>
      </c>
      <c r="C56" s="56">
        <f>TabVerfTW!E74</f>
        <v>7.08</v>
      </c>
      <c r="D56" s="32" t="s">
        <v>338</v>
      </c>
      <c r="E56" s="56">
        <f>E47-C56</f>
        <v>48.176138303999736</v>
      </c>
      <c r="F56" s="32" t="s">
        <v>339</v>
      </c>
      <c r="G56" s="12">
        <v>0</v>
      </c>
    </row>
    <row r="57" spans="1:7" ht="17.399999999999999" x14ac:dyDescent="0.3">
      <c r="A57" s="42"/>
      <c r="B57" s="43"/>
      <c r="C57" s="137"/>
      <c r="D57" s="43"/>
      <c r="E57" s="137"/>
      <c r="F57" s="43"/>
      <c r="G57" s="17"/>
    </row>
    <row r="58" spans="1:7" ht="17.399999999999999" x14ac:dyDescent="0.3">
      <c r="A58" s="42" t="s">
        <v>271</v>
      </c>
      <c r="B58" s="43"/>
      <c r="D58" s="42" t="s">
        <v>272</v>
      </c>
      <c r="F58" s="138" t="s">
        <v>273</v>
      </c>
      <c r="G58" s="17"/>
    </row>
    <row r="59" spans="1:7" x14ac:dyDescent="0.25">
      <c r="A59" s="139"/>
      <c r="B59" s="47"/>
      <c r="C59" s="23"/>
      <c r="D59" s="47"/>
      <c r="E59" s="23"/>
      <c r="F59" s="47"/>
      <c r="G59" s="23"/>
    </row>
    <row r="60" spans="1:7" ht="19.8" x14ac:dyDescent="0.4">
      <c r="A60" s="41" t="s">
        <v>274</v>
      </c>
      <c r="B60" s="52" t="s">
        <v>275</v>
      </c>
      <c r="C60" s="101" t="s">
        <v>361</v>
      </c>
      <c r="D60" s="40" t="s">
        <v>340</v>
      </c>
      <c r="E60" s="84">
        <f>(TabVerfTW!E66+TabVerfTW!F66)*C45+(TabVerfHeiz!E64+TabVerfHeiz!F64)*C45</f>
        <v>7784.23552329828</v>
      </c>
      <c r="F60" s="40" t="s">
        <v>343</v>
      </c>
      <c r="G60" s="84">
        <f>(TabVerfTW!E68+TabVerfTW!F68)*C45+(TabVerfHeiz!E66+TabVerfHeiz!F66)*C45</f>
        <v>8562.6590756281093</v>
      </c>
    </row>
    <row r="61" spans="1:7" ht="19.8" x14ac:dyDescent="0.4">
      <c r="A61" s="41" t="s">
        <v>276</v>
      </c>
      <c r="B61" s="52" t="s">
        <v>275</v>
      </c>
      <c r="C61" s="32"/>
      <c r="D61" s="40" t="s">
        <v>341</v>
      </c>
      <c r="E61" s="32"/>
      <c r="F61" s="40" t="s">
        <v>344</v>
      </c>
      <c r="G61" s="32"/>
    </row>
    <row r="62" spans="1:7" ht="19.8" x14ac:dyDescent="0.4">
      <c r="A62" s="41" t="s">
        <v>277</v>
      </c>
      <c r="B62" s="52" t="s">
        <v>275</v>
      </c>
      <c r="C62" s="32"/>
      <c r="D62" s="40" t="s">
        <v>342</v>
      </c>
      <c r="E62" s="32"/>
      <c r="F62" s="40" t="s">
        <v>345</v>
      </c>
      <c r="G62" s="32"/>
    </row>
    <row r="63" spans="1:7" x14ac:dyDescent="0.25">
      <c r="A63" s="139"/>
      <c r="C63" s="47"/>
      <c r="D63" s="23"/>
      <c r="E63" s="47"/>
      <c r="F63" s="23"/>
      <c r="G63" s="47"/>
    </row>
    <row r="64" spans="1:7" ht="19.8" x14ac:dyDescent="0.4">
      <c r="A64" s="41" t="s">
        <v>278</v>
      </c>
      <c r="B64" s="52" t="s">
        <v>275</v>
      </c>
      <c r="C64" s="32" t="s">
        <v>279</v>
      </c>
      <c r="D64" s="40" t="s">
        <v>348</v>
      </c>
      <c r="E64" s="84">
        <f>TabVerfTW!E86*C45+TabVerfHeiz!E78*C45</f>
        <v>508.26932779200001</v>
      </c>
      <c r="F64" s="40" t="s">
        <v>349</v>
      </c>
      <c r="G64" s="84">
        <f>TabVerfTW!E88*C45+TabVerfHeiz!E80*C45</f>
        <v>914.88479002560007</v>
      </c>
    </row>
    <row r="65" spans="1:7" x14ac:dyDescent="0.25">
      <c r="A65" s="139"/>
      <c r="B65" s="47"/>
      <c r="C65" s="23"/>
      <c r="D65" s="47"/>
      <c r="E65" s="23"/>
      <c r="F65" s="47"/>
      <c r="G65" s="23"/>
    </row>
    <row r="66" spans="1:7" ht="21" x14ac:dyDescent="0.45">
      <c r="A66" s="41" t="s">
        <v>359</v>
      </c>
      <c r="B66" s="32"/>
      <c r="C66" s="140"/>
      <c r="D66" s="32"/>
      <c r="E66" s="84">
        <f>E60+E61+E62+E64</f>
        <v>8292.5048510902798</v>
      </c>
      <c r="F66" s="10" t="s">
        <v>497</v>
      </c>
      <c r="G66" s="17"/>
    </row>
    <row r="67" spans="1:7" x14ac:dyDescent="0.25">
      <c r="A67" s="139"/>
      <c r="B67" s="47"/>
      <c r="C67" s="23"/>
      <c r="D67" s="123"/>
      <c r="E67" s="47"/>
      <c r="F67" s="47"/>
      <c r="G67" s="23"/>
    </row>
    <row r="68" spans="1:7" ht="21" x14ac:dyDescent="0.45">
      <c r="A68" s="41" t="s">
        <v>360</v>
      </c>
      <c r="B68" s="32"/>
      <c r="C68" s="12"/>
      <c r="D68" s="141"/>
      <c r="E68" s="142"/>
      <c r="F68" s="178" t="s">
        <v>423</v>
      </c>
      <c r="G68" s="84">
        <f>G60+G61+G62+G64</f>
        <v>9477.5438656537099</v>
      </c>
    </row>
    <row r="69" spans="1:7" ht="13.2" customHeight="1" x14ac:dyDescent="0.3">
      <c r="A69" s="42"/>
      <c r="B69" s="43"/>
      <c r="C69" s="17"/>
      <c r="D69" s="43"/>
      <c r="E69" s="150"/>
      <c r="F69" s="233"/>
      <c r="G69" s="234"/>
    </row>
    <row r="70" spans="1:7" ht="21" x14ac:dyDescent="0.45">
      <c r="A70" s="41" t="s">
        <v>476</v>
      </c>
      <c r="B70" s="32"/>
      <c r="C70" s="12"/>
      <c r="D70" s="24"/>
      <c r="E70" s="44"/>
      <c r="F70" s="142"/>
      <c r="G70" s="193">
        <f>IF(C45=0,"",G68/C45)</f>
        <v>78.222891570367722</v>
      </c>
    </row>
    <row r="71" spans="1:7" x14ac:dyDescent="0.25">
      <c r="A71" s="139"/>
      <c r="B71" s="47"/>
      <c r="C71" s="23"/>
      <c r="D71" s="123"/>
      <c r="E71" s="47"/>
      <c r="F71" s="47"/>
      <c r="G71" s="23"/>
    </row>
    <row r="72" spans="1:7" ht="21" x14ac:dyDescent="0.45">
      <c r="A72" s="41" t="s">
        <v>506</v>
      </c>
      <c r="B72" s="32"/>
      <c r="C72" s="12"/>
      <c r="D72" s="141"/>
      <c r="E72" s="142"/>
      <c r="F72" s="147"/>
      <c r="G72" s="243">
        <f>G68*0.55</f>
        <v>5212.6491261095407</v>
      </c>
    </row>
    <row r="73" spans="1:7" x14ac:dyDescent="0.25">
      <c r="A73" s="139"/>
      <c r="B73" s="227"/>
      <c r="C73" s="23"/>
      <c r="D73" s="123"/>
      <c r="E73" s="227"/>
      <c r="F73" s="227"/>
      <c r="G73" s="23"/>
    </row>
    <row r="74" spans="1:7" ht="21" x14ac:dyDescent="0.45">
      <c r="A74" s="41" t="s">
        <v>507</v>
      </c>
      <c r="B74" s="32"/>
      <c r="C74" s="12"/>
      <c r="D74" s="24"/>
      <c r="E74" s="44"/>
      <c r="F74" s="142"/>
      <c r="G74" s="193">
        <f>IF(C45=0,"",G72/C45)</f>
        <v>43.02259036370225</v>
      </c>
    </row>
    <row r="75" spans="1:7" x14ac:dyDescent="0.25">
      <c r="A75" s="139"/>
      <c r="B75" s="47"/>
      <c r="C75" s="23"/>
      <c r="D75" s="123"/>
      <c r="E75" s="47"/>
      <c r="F75" s="143"/>
      <c r="G75" s="47"/>
    </row>
    <row r="76" spans="1:7" ht="21" x14ac:dyDescent="0.45">
      <c r="A76" s="41" t="s">
        <v>365</v>
      </c>
      <c r="B76" s="32"/>
      <c r="C76" s="44"/>
      <c r="D76" s="144" t="s">
        <v>347</v>
      </c>
      <c r="E76" s="142"/>
      <c r="F76" s="147" t="s">
        <v>424</v>
      </c>
      <c r="G76" s="81">
        <f>IF(C46+E46=0,"",G68/(C46+E46))</f>
        <v>1.1544768271681467</v>
      </c>
    </row>
    <row r="79" spans="1:7" ht="23.4" x14ac:dyDescent="0.5">
      <c r="A79" s="182" t="s">
        <v>475</v>
      </c>
      <c r="B79" s="183"/>
      <c r="C79" s="183"/>
      <c r="D79" s="183"/>
      <c r="E79" s="183"/>
      <c r="F79" s="183"/>
      <c r="G79" s="183"/>
    </row>
    <row r="80" spans="1:7" ht="21" x14ac:dyDescent="0.4">
      <c r="A80" s="232" t="s">
        <v>470</v>
      </c>
    </row>
  </sheetData>
  <phoneticPr fontId="0" type="noConversion"/>
  <pageMargins left="0.78740157480314965" right="0.59055118110236227" top="0.98425196850393704" bottom="0.78740157480314965" header="0.51181102362204722" footer="0.51181102362204722"/>
  <pageSetup paperSize="9" scale="86" orientation="portrait" horizontalDpi="4294967293" verticalDpi="300" r:id="rId1"/>
  <headerFooter alignWithMargins="0">
    <oddHeader>&amp;F</oddHeader>
    <oddFooter>&amp;A&amp;RSeite &amp;P</oddFooter>
  </headerFooter>
  <rowBreaks count="1" manualBreakCount="1">
    <brk id="3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7.5546875" customWidth="1"/>
    <col min="2" max="5" width="15.6640625" customWidth="1"/>
    <col min="6" max="6" width="7.6640625" customWidth="1"/>
  </cols>
  <sheetData>
    <row r="1" spans="1:9" ht="21" x14ac:dyDescent="0.25">
      <c r="A1" s="57" t="s">
        <v>61</v>
      </c>
      <c r="B1" s="58"/>
      <c r="C1" s="58"/>
      <c r="D1" s="58"/>
      <c r="E1" s="59"/>
      <c r="F1" s="58"/>
      <c r="G1" s="60"/>
    </row>
    <row r="2" spans="1:9" x14ac:dyDescent="0.25">
      <c r="A2" s="65"/>
      <c r="B2" s="58"/>
      <c r="C2" s="58"/>
      <c r="D2" s="58"/>
      <c r="E2" s="59"/>
      <c r="F2" s="58"/>
      <c r="G2" s="60"/>
      <c r="H2" s="19"/>
      <c r="I2" s="19"/>
    </row>
    <row r="3" spans="1:9" ht="19.8" x14ac:dyDescent="0.3">
      <c r="A3" s="67" t="s">
        <v>453</v>
      </c>
      <c r="B3" s="67"/>
      <c r="C3" s="68" t="s">
        <v>50</v>
      </c>
      <c r="D3" s="70">
        <f>2*6.99*3.49</f>
        <v>48.790200000000006</v>
      </c>
      <c r="E3" s="70">
        <f>6.99*3.5</f>
        <v>24.465</v>
      </c>
      <c r="F3" s="7"/>
      <c r="G3" s="62"/>
    </row>
    <row r="4" spans="1:9" ht="17.399999999999999" x14ac:dyDescent="0.3">
      <c r="A4" s="67" t="s">
        <v>454</v>
      </c>
      <c r="B4" s="67"/>
      <c r="C4" s="68" t="s">
        <v>51</v>
      </c>
      <c r="D4" s="70">
        <f>2*6.99+2*2*3.49</f>
        <v>27.94</v>
      </c>
      <c r="E4" s="70">
        <f>6.99+2*3.5</f>
        <v>13.99</v>
      </c>
      <c r="F4" s="7"/>
      <c r="G4" s="62"/>
    </row>
    <row r="5" spans="1:9" ht="19.5" customHeight="1" x14ac:dyDescent="0.3">
      <c r="A5" s="67" t="s">
        <v>455</v>
      </c>
      <c r="B5" s="67"/>
      <c r="C5" s="68" t="s">
        <v>51</v>
      </c>
      <c r="D5" s="69">
        <f>IF(D4&gt;0,D3/(0.5*D4),0)</f>
        <v>3.4924982104509668</v>
      </c>
      <c r="E5" s="69">
        <f>IF(E4&gt;0,E3/(0.5*E4),0)</f>
        <v>3.4974982130092922</v>
      </c>
      <c r="F5" s="7" t="s">
        <v>396</v>
      </c>
      <c r="G5" s="62"/>
    </row>
    <row r="6" spans="1:9" ht="17.399999999999999" x14ac:dyDescent="0.3">
      <c r="A6" s="203" t="s">
        <v>442</v>
      </c>
      <c r="B6" s="204"/>
      <c r="C6" s="205"/>
      <c r="D6" s="68" t="s">
        <v>443</v>
      </c>
      <c r="E6" s="68" t="s">
        <v>444</v>
      </c>
      <c r="F6" s="206"/>
      <c r="G6" s="62"/>
    </row>
    <row r="7" spans="1:9" ht="19.8" x14ac:dyDescent="0.4">
      <c r="A7" s="207" t="s">
        <v>445</v>
      </c>
      <c r="B7" s="208"/>
      <c r="C7" s="209" t="s">
        <v>52</v>
      </c>
      <c r="D7" s="211" t="s">
        <v>466</v>
      </c>
      <c r="E7" s="112">
        <v>4.6900000000000004</v>
      </c>
      <c r="F7" s="210"/>
      <c r="G7" s="62"/>
    </row>
    <row r="8" spans="1:9" ht="20.399999999999999" x14ac:dyDescent="0.25">
      <c r="A8" s="61"/>
      <c r="B8" s="58"/>
      <c r="C8" s="58"/>
      <c r="D8" s="63"/>
      <c r="F8" s="64"/>
      <c r="G8" s="62"/>
    </row>
    <row r="9" spans="1:9" ht="21" x14ac:dyDescent="0.4">
      <c r="A9" s="2" t="s">
        <v>0</v>
      </c>
    </row>
    <row r="11" spans="1:9" ht="21" x14ac:dyDescent="0.45">
      <c r="A11" s="3" t="s">
        <v>58</v>
      </c>
      <c r="B11" s="3" t="s">
        <v>54</v>
      </c>
      <c r="C11" s="3" t="s">
        <v>55</v>
      </c>
      <c r="D11" s="3" t="s">
        <v>56</v>
      </c>
      <c r="E11" s="3" t="s">
        <v>57</v>
      </c>
      <c r="F11" s="38" t="s">
        <v>391</v>
      </c>
    </row>
    <row r="12" spans="1:9" ht="17.399999999999999" x14ac:dyDescent="0.3">
      <c r="A12" s="4" t="s">
        <v>234</v>
      </c>
      <c r="B12" s="6">
        <v>1</v>
      </c>
      <c r="C12" s="11">
        <v>0.74</v>
      </c>
      <c r="D12" s="11">
        <f>A!F9</f>
        <v>23.564</v>
      </c>
      <c r="E12" s="11">
        <f t="shared" ref="E12:E17" si="0">B12*C12*D12</f>
        <v>17.437359999999998</v>
      </c>
      <c r="F12" s="8" t="s">
        <v>413</v>
      </c>
    </row>
    <row r="13" spans="1:9" ht="17.399999999999999" x14ac:dyDescent="0.3">
      <c r="A13" s="4" t="s">
        <v>235</v>
      </c>
      <c r="B13" s="6">
        <v>0.5</v>
      </c>
      <c r="C13" s="11">
        <v>0.74</v>
      </c>
      <c r="D13" s="11">
        <f>A!F11</f>
        <v>3.8178000000000001</v>
      </c>
      <c r="E13" s="11">
        <f t="shared" si="0"/>
        <v>1.4125860000000001</v>
      </c>
      <c r="F13" s="8"/>
    </row>
    <row r="14" spans="1:9" ht="17.399999999999999" x14ac:dyDescent="0.3">
      <c r="A14" s="4" t="s">
        <v>236</v>
      </c>
      <c r="B14" s="6">
        <v>1</v>
      </c>
      <c r="C14" s="11">
        <v>0.2</v>
      </c>
      <c r="D14" s="11">
        <f>A!F22</f>
        <v>89.683999999999997</v>
      </c>
      <c r="E14" s="11">
        <f t="shared" si="0"/>
        <v>17.936800000000002</v>
      </c>
      <c r="F14" s="8"/>
    </row>
    <row r="15" spans="1:9" ht="17.399999999999999" x14ac:dyDescent="0.3">
      <c r="A15" s="4" t="s">
        <v>237</v>
      </c>
      <c r="B15" s="6">
        <v>0.5</v>
      </c>
      <c r="C15" s="11">
        <v>0.2</v>
      </c>
      <c r="D15" s="11">
        <f>A!F25</f>
        <v>19.9422</v>
      </c>
      <c r="E15" s="11">
        <f t="shared" si="0"/>
        <v>1.9942200000000001</v>
      </c>
      <c r="F15" s="8"/>
    </row>
    <row r="16" spans="1:9" ht="17.399999999999999" x14ac:dyDescent="0.3">
      <c r="A16" s="4" t="s">
        <v>1</v>
      </c>
      <c r="B16" s="6">
        <v>1</v>
      </c>
      <c r="C16" s="11">
        <v>0.13</v>
      </c>
      <c r="D16" s="11">
        <f>A!F26</f>
        <v>62.840100000000007</v>
      </c>
      <c r="E16" s="11">
        <f t="shared" si="0"/>
        <v>8.1692130000000009</v>
      </c>
      <c r="F16" s="8"/>
    </row>
    <row r="17" spans="1:6" ht="17.399999999999999" x14ac:dyDescent="0.3">
      <c r="A17" s="4" t="s">
        <v>2</v>
      </c>
      <c r="B17" s="6">
        <v>1</v>
      </c>
      <c r="C17" s="11">
        <v>0.21</v>
      </c>
      <c r="D17" s="11">
        <f>A!F30</f>
        <v>13.98</v>
      </c>
      <c r="E17" s="11">
        <f t="shared" si="0"/>
        <v>2.9358</v>
      </c>
      <c r="F17" s="8"/>
    </row>
    <row r="18" spans="1:6" s="19" customFormat="1" ht="13.2" customHeight="1" x14ac:dyDescent="0.25">
      <c r="A18" s="113"/>
      <c r="B18" s="114"/>
      <c r="C18" s="115"/>
      <c r="D18" s="115"/>
      <c r="E18" s="115"/>
      <c r="F18" s="235"/>
    </row>
    <row r="19" spans="1:6" ht="17.399999999999999" x14ac:dyDescent="0.3">
      <c r="A19" s="4" t="s">
        <v>151</v>
      </c>
      <c r="B19" s="6">
        <v>0.8</v>
      </c>
      <c r="C19" s="11">
        <v>1.8</v>
      </c>
      <c r="D19" s="11">
        <f>A!F27</f>
        <v>0</v>
      </c>
      <c r="E19" s="11">
        <f t="shared" ref="E19:E24" si="1">B19*C19*D19</f>
        <v>0</v>
      </c>
      <c r="F19" s="8" t="s">
        <v>481</v>
      </c>
    </row>
    <row r="20" spans="1:6" ht="17.399999999999999" x14ac:dyDescent="0.3">
      <c r="A20" s="4" t="s">
        <v>47</v>
      </c>
      <c r="B20" s="6">
        <v>0.8</v>
      </c>
      <c r="C20" s="11"/>
      <c r="D20" s="11">
        <f>A!F29</f>
        <v>0</v>
      </c>
      <c r="E20" s="11">
        <f t="shared" si="1"/>
        <v>0</v>
      </c>
      <c r="F20" s="8"/>
    </row>
    <row r="21" spans="1:6" ht="17.399999999999999" x14ac:dyDescent="0.3">
      <c r="A21" s="4" t="s">
        <v>152</v>
      </c>
      <c r="B21" s="11">
        <v>0.35</v>
      </c>
      <c r="C21" s="11">
        <v>1.8</v>
      </c>
      <c r="D21" s="11">
        <v>0</v>
      </c>
      <c r="E21" s="11">
        <f t="shared" si="1"/>
        <v>0</v>
      </c>
      <c r="F21" s="8"/>
    </row>
    <row r="22" spans="1:6" ht="17.399999999999999" x14ac:dyDescent="0.3">
      <c r="A22" s="4" t="s">
        <v>53</v>
      </c>
      <c r="B22" s="11">
        <v>0.35</v>
      </c>
      <c r="C22" s="11"/>
      <c r="D22" s="11">
        <v>0</v>
      </c>
      <c r="E22" s="11">
        <f t="shared" si="1"/>
        <v>0</v>
      </c>
      <c r="F22" s="8"/>
    </row>
    <row r="23" spans="1:6" ht="17.399999999999999" x14ac:dyDescent="0.3">
      <c r="A23" s="4" t="s">
        <v>153</v>
      </c>
      <c r="B23" s="11">
        <v>0.55000000000000004</v>
      </c>
      <c r="C23" s="11">
        <v>1.8</v>
      </c>
      <c r="D23" s="11">
        <f>A!F34</f>
        <v>1.5275999999999998</v>
      </c>
      <c r="E23" s="11">
        <f t="shared" si="1"/>
        <v>1.512324</v>
      </c>
      <c r="F23" s="8"/>
    </row>
    <row r="24" spans="1:6" ht="17.399999999999999" x14ac:dyDescent="0.3">
      <c r="A24" s="4" t="s">
        <v>3</v>
      </c>
      <c r="B24" s="11">
        <v>0.55000000000000004</v>
      </c>
      <c r="C24" s="11">
        <v>0.3</v>
      </c>
      <c r="D24" s="11">
        <f>A!F36</f>
        <v>17.345400000000001</v>
      </c>
      <c r="E24" s="11">
        <f t="shared" si="1"/>
        <v>2.8619910000000002</v>
      </c>
      <c r="F24" s="8"/>
    </row>
    <row r="25" spans="1:6" s="83" customFormat="1" x14ac:dyDescent="0.25">
      <c r="A25" s="116"/>
      <c r="B25" s="116"/>
      <c r="C25" s="116"/>
      <c r="D25" s="116"/>
      <c r="E25" s="116"/>
      <c r="F25" s="235"/>
    </row>
    <row r="26" spans="1:6" ht="17.399999999999999" x14ac:dyDescent="0.3">
      <c r="A26" s="4" t="s">
        <v>393</v>
      </c>
      <c r="B26" s="11">
        <v>0.55000000000000004</v>
      </c>
      <c r="C26" s="11">
        <v>0.2</v>
      </c>
      <c r="D26" s="11">
        <v>24.465</v>
      </c>
      <c r="E26" s="11">
        <f>B26*C26*D26</f>
        <v>2.6911500000000004</v>
      </c>
      <c r="F26" s="174" t="s">
        <v>410</v>
      </c>
    </row>
    <row r="27" spans="1:6" ht="17.399999999999999" x14ac:dyDescent="0.3">
      <c r="A27" s="4" t="s">
        <v>394</v>
      </c>
      <c r="B27" s="11">
        <v>0.45</v>
      </c>
      <c r="C27" s="11">
        <v>0.19</v>
      </c>
      <c r="D27" s="11">
        <v>24.395100000000003</v>
      </c>
      <c r="E27" s="11">
        <f>B27*C27*D27</f>
        <v>2.0857810500000005</v>
      </c>
      <c r="F27" s="8"/>
    </row>
    <row r="28" spans="1:6" ht="17.399999999999999" x14ac:dyDescent="0.3">
      <c r="A28" s="4" t="s">
        <v>395</v>
      </c>
      <c r="B28" s="11">
        <v>0.6</v>
      </c>
      <c r="C28" s="11">
        <v>0.21</v>
      </c>
      <c r="D28" s="11">
        <v>10.47</v>
      </c>
      <c r="E28" s="11">
        <f>B28*C28*D28</f>
        <v>1.3192200000000001</v>
      </c>
      <c r="F28" s="8"/>
    </row>
    <row r="29" spans="1:6" s="19" customFormat="1" x14ac:dyDescent="0.25">
      <c r="A29" s="113"/>
      <c r="B29" s="115"/>
      <c r="C29" s="115"/>
      <c r="D29" s="115"/>
      <c r="E29" s="115"/>
      <c r="F29" s="235"/>
    </row>
    <row r="30" spans="1:6" ht="21" x14ac:dyDescent="0.45">
      <c r="A30" s="27"/>
      <c r="B30" s="27"/>
      <c r="C30" s="71" t="s">
        <v>59</v>
      </c>
      <c r="D30" s="3" t="s">
        <v>4</v>
      </c>
      <c r="E30" s="71" t="s">
        <v>60</v>
      </c>
      <c r="F30" s="8"/>
    </row>
    <row r="31" spans="1:6" ht="17.399999999999999" x14ac:dyDescent="0.3">
      <c r="A31" s="3" t="s">
        <v>5</v>
      </c>
      <c r="B31" s="6"/>
      <c r="C31" s="4">
        <v>0.05</v>
      </c>
      <c r="D31" s="12">
        <f>SUM(D12:D28)</f>
        <v>292.03120000000001</v>
      </c>
      <c r="E31" s="12">
        <f>C31*D31</f>
        <v>14.601560000000001</v>
      </c>
      <c r="F31" s="8" t="s">
        <v>397</v>
      </c>
    </row>
    <row r="32" spans="1:6" s="19" customFormat="1" x14ac:dyDescent="0.25">
      <c r="A32" s="117"/>
      <c r="B32" s="114"/>
      <c r="C32" s="113"/>
      <c r="D32" s="115"/>
      <c r="E32" s="115"/>
      <c r="F32" s="235"/>
    </row>
    <row r="33" spans="1:6" ht="21" x14ac:dyDescent="0.45">
      <c r="A33" s="22" t="s">
        <v>71</v>
      </c>
      <c r="B33" s="49" t="s">
        <v>46</v>
      </c>
      <c r="C33" s="4"/>
      <c r="E33" s="12">
        <f>SUM(E12:E28)+E31</f>
        <v>74.958005050000011</v>
      </c>
      <c r="F33" s="8" t="s">
        <v>482</v>
      </c>
    </row>
    <row r="34" spans="1:6" s="19" customFormat="1" x14ac:dyDescent="0.25">
      <c r="A34" s="117"/>
      <c r="B34" s="114"/>
      <c r="C34" s="113"/>
      <c r="D34" s="113"/>
      <c r="E34" s="113"/>
      <c r="F34" s="235"/>
    </row>
    <row r="35" spans="1:6" ht="21" x14ac:dyDescent="0.45">
      <c r="A35" s="22" t="s">
        <v>72</v>
      </c>
      <c r="B35" s="48" t="s">
        <v>45</v>
      </c>
      <c r="C35" s="49" t="s">
        <v>154</v>
      </c>
      <c r="D35" s="27"/>
      <c r="E35" s="51">
        <f>IF(D31=0,"",E33/D31)</f>
        <v>0.25667807087050976</v>
      </c>
      <c r="F35" s="8" t="s">
        <v>392</v>
      </c>
    </row>
    <row r="36" spans="1:6" ht="21" x14ac:dyDescent="0.45">
      <c r="A36" s="186" t="s">
        <v>446</v>
      </c>
      <c r="B36" s="93" t="s">
        <v>447</v>
      </c>
      <c r="C36" s="10"/>
      <c r="D36" s="10"/>
      <c r="E36" s="37"/>
    </row>
    <row r="37" spans="1:6" s="7" customFormat="1" ht="17.399999999999999" x14ac:dyDescent="0.3">
      <c r="A37" s="29"/>
      <c r="C37" s="8"/>
      <c r="D37" s="8"/>
      <c r="E37" s="8"/>
    </row>
    <row r="38" spans="1:6" s="7" customFormat="1" ht="21" x14ac:dyDescent="0.4">
      <c r="A38" s="2" t="s">
        <v>22</v>
      </c>
      <c r="B38"/>
      <c r="C38"/>
      <c r="D38"/>
      <c r="E38"/>
      <c r="F38" s="39"/>
    </row>
    <row r="39" spans="1:6" s="83" customFormat="1" x14ac:dyDescent="0.25">
      <c r="F39" s="173"/>
    </row>
    <row r="40" spans="1:6" s="83" customFormat="1" ht="17.399999999999999" x14ac:dyDescent="0.3">
      <c r="A40" s="44" t="s">
        <v>427</v>
      </c>
      <c r="B40" s="141"/>
      <c r="C40" s="52"/>
      <c r="D40" s="187" t="s">
        <v>428</v>
      </c>
      <c r="E40" s="12">
        <v>0.6</v>
      </c>
      <c r="F40" s="173"/>
    </row>
    <row r="41" spans="1:6" s="7" customFormat="1" ht="21" x14ac:dyDescent="0.45">
      <c r="A41" s="188" t="s">
        <v>67</v>
      </c>
      <c r="B41" s="189" t="s">
        <v>429</v>
      </c>
      <c r="C41" s="190"/>
      <c r="D41" s="191" t="s">
        <v>68</v>
      </c>
      <c r="E41" s="12">
        <f>0.34*E40*0.76*A!F45</f>
        <v>58.702381243200008</v>
      </c>
      <c r="F41" s="8" t="s">
        <v>401</v>
      </c>
    </row>
    <row r="42" spans="1:6" s="7" customFormat="1" ht="19.8" x14ac:dyDescent="0.4">
      <c r="A42" s="7" t="s">
        <v>69</v>
      </c>
      <c r="B42"/>
      <c r="C42" s="20"/>
      <c r="D42" s="20"/>
      <c r="E42" s="20"/>
      <c r="F42" s="8"/>
    </row>
    <row r="43" spans="1:6" s="7" customFormat="1" ht="19.8" x14ac:dyDescent="0.4">
      <c r="A43" s="7" t="s">
        <v>70</v>
      </c>
      <c r="B43" s="19"/>
      <c r="C43" s="20"/>
      <c r="D43" s="20"/>
      <c r="E43" s="20"/>
      <c r="F43" s="8"/>
    </row>
    <row r="44" spans="1:6" s="7" customFormat="1" ht="17.399999999999999" x14ac:dyDescent="0.3">
      <c r="B44" s="19"/>
      <c r="C44" s="20"/>
      <c r="D44" s="20"/>
      <c r="E44" s="20"/>
      <c r="F44" s="8"/>
    </row>
    <row r="45" spans="1:6" s="7" customFormat="1" ht="17.399999999999999" x14ac:dyDescent="0.3">
      <c r="B45" s="19"/>
      <c r="C45" s="20"/>
      <c r="D45" s="20"/>
      <c r="E45" s="20"/>
      <c r="F45" s="8"/>
    </row>
    <row r="46" spans="1:6" s="7" customFormat="1" ht="21" x14ac:dyDescent="0.3">
      <c r="A46" s="214" t="s">
        <v>448</v>
      </c>
      <c r="B46" s="215"/>
      <c r="C46" s="215"/>
      <c r="D46" s="215"/>
      <c r="E46" s="216"/>
      <c r="F46" s="215"/>
    </row>
    <row r="47" spans="1:6" s="7" customFormat="1" ht="17.399999999999999" x14ac:dyDescent="0.3">
      <c r="A47" s="65"/>
      <c r="B47" s="215"/>
      <c r="C47" s="215"/>
      <c r="D47" s="215"/>
      <c r="E47" s="216"/>
      <c r="F47" s="215"/>
    </row>
    <row r="48" spans="1:6" s="7" customFormat="1" ht="19.8" x14ac:dyDescent="0.3">
      <c r="A48" s="67" t="s">
        <v>453</v>
      </c>
      <c r="B48" s="67"/>
      <c r="C48" s="68" t="s">
        <v>50</v>
      </c>
      <c r="D48" s="70">
        <f>2*6.99*3.49</f>
        <v>48.790200000000006</v>
      </c>
      <c r="E48" s="70">
        <f>6.99*3.5</f>
        <v>24.465</v>
      </c>
    </row>
    <row r="49" spans="1:7" s="7" customFormat="1" ht="17.399999999999999" x14ac:dyDescent="0.3">
      <c r="A49" s="67" t="s">
        <v>454</v>
      </c>
      <c r="B49" s="67"/>
      <c r="C49" s="68" t="s">
        <v>51</v>
      </c>
      <c r="D49" s="70">
        <f>2*6.99+2*2*3.49</f>
        <v>27.94</v>
      </c>
      <c r="E49" s="70">
        <f>6.99+2*3.5</f>
        <v>13.99</v>
      </c>
    </row>
    <row r="50" spans="1:7" s="7" customFormat="1" ht="19.8" x14ac:dyDescent="0.3">
      <c r="A50" s="67" t="s">
        <v>455</v>
      </c>
      <c r="B50" s="67"/>
      <c r="C50" s="68" t="s">
        <v>51</v>
      </c>
      <c r="D50" s="69">
        <f>IF(D49&gt;0,D48/(0.5*D49),0)</f>
        <v>3.4924982104509668</v>
      </c>
      <c r="E50" s="69">
        <f>IF(E49&gt;0,E48/(0.5*E49),0)</f>
        <v>3.4974982130092922</v>
      </c>
      <c r="F50" s="7" t="s">
        <v>396</v>
      </c>
    </row>
    <row r="51" spans="1:7" s="7" customFormat="1" ht="17.399999999999999" x14ac:dyDescent="0.3">
      <c r="A51" s="203" t="s">
        <v>442</v>
      </c>
      <c r="B51" s="204"/>
      <c r="C51" s="205"/>
      <c r="D51" s="68" t="s">
        <v>443</v>
      </c>
      <c r="E51" s="68" t="s">
        <v>444</v>
      </c>
      <c r="F51" s="206"/>
    </row>
    <row r="52" spans="1:7" s="7" customFormat="1" ht="19.8" x14ac:dyDescent="0.4">
      <c r="A52" s="207" t="s">
        <v>445</v>
      </c>
      <c r="B52" s="208"/>
      <c r="C52" s="209" t="s">
        <v>52</v>
      </c>
      <c r="D52" s="217" t="s">
        <v>449</v>
      </c>
      <c r="E52" s="218">
        <v>2.52</v>
      </c>
      <c r="F52" s="210"/>
    </row>
    <row r="53" spans="1:7" s="7" customFormat="1" ht="18" x14ac:dyDescent="0.3">
      <c r="A53" s="219"/>
      <c r="B53" s="220"/>
      <c r="C53" s="221"/>
      <c r="D53" s="222"/>
      <c r="E53" s="223"/>
      <c r="F53" s="210"/>
    </row>
    <row r="54" spans="1:7" ht="21" x14ac:dyDescent="0.4">
      <c r="A54" s="55" t="s">
        <v>83</v>
      </c>
      <c r="B54" s="75"/>
      <c r="C54" s="75"/>
      <c r="D54" s="75"/>
      <c r="E54" s="75"/>
      <c r="F54" s="175"/>
      <c r="G54" s="75"/>
    </row>
    <row r="55" spans="1:7" x14ac:dyDescent="0.25">
      <c r="A55" s="75"/>
      <c r="B55" s="75"/>
      <c r="C55" s="75"/>
      <c r="D55" s="75"/>
      <c r="E55" s="75"/>
      <c r="F55" s="175"/>
      <c r="G55" s="75"/>
    </row>
    <row r="56" spans="1:7" ht="21" x14ac:dyDescent="0.45">
      <c r="A56" s="3" t="s">
        <v>58</v>
      </c>
      <c r="B56" s="3" t="s">
        <v>54</v>
      </c>
      <c r="C56" s="3" t="s">
        <v>55</v>
      </c>
      <c r="D56" s="3" t="s">
        <v>56</v>
      </c>
      <c r="E56" s="3" t="s">
        <v>57</v>
      </c>
      <c r="F56" s="38" t="s">
        <v>391</v>
      </c>
      <c r="G56" s="75"/>
    </row>
    <row r="57" spans="1:7" ht="17.399999999999999" x14ac:dyDescent="0.3">
      <c r="A57" s="4" t="s">
        <v>234</v>
      </c>
      <c r="B57" s="6">
        <v>1</v>
      </c>
      <c r="C57" s="77">
        <v>1.3</v>
      </c>
      <c r="D57" s="11">
        <f>A!F9</f>
        <v>23.564</v>
      </c>
      <c r="E57" s="77">
        <f t="shared" ref="E57:E62" si="2">B57*C57*D57</f>
        <v>30.633200000000002</v>
      </c>
      <c r="F57" s="8" t="s">
        <v>413</v>
      </c>
      <c r="G57" s="75"/>
    </row>
    <row r="58" spans="1:7" ht="17.399999999999999" x14ac:dyDescent="0.3">
      <c r="A58" s="4" t="s">
        <v>235</v>
      </c>
      <c r="B58" s="6">
        <v>0.5</v>
      </c>
      <c r="C58" s="77">
        <v>1.3</v>
      </c>
      <c r="D58" s="11">
        <f>A!F11</f>
        <v>3.8178000000000001</v>
      </c>
      <c r="E58" s="77">
        <f t="shared" si="2"/>
        <v>2.4815700000000001</v>
      </c>
      <c r="F58" s="8"/>
      <c r="G58" s="75"/>
    </row>
    <row r="59" spans="1:7" ht="17.399999999999999" x14ac:dyDescent="0.3">
      <c r="A59" s="4" t="s">
        <v>236</v>
      </c>
      <c r="B59" s="6">
        <v>1</v>
      </c>
      <c r="C59" s="77">
        <v>0.28000000000000003</v>
      </c>
      <c r="D59" s="11">
        <f>A!F22</f>
        <v>89.683999999999997</v>
      </c>
      <c r="E59" s="77">
        <f t="shared" si="2"/>
        <v>25.111520000000002</v>
      </c>
      <c r="F59" s="8"/>
      <c r="G59" s="75"/>
    </row>
    <row r="60" spans="1:7" ht="17.399999999999999" x14ac:dyDescent="0.3">
      <c r="A60" s="4" t="s">
        <v>237</v>
      </c>
      <c r="B60" s="6">
        <v>0.5</v>
      </c>
      <c r="C60" s="77">
        <v>0.28000000000000003</v>
      </c>
      <c r="D60" s="11">
        <f>A!F25</f>
        <v>19.9422</v>
      </c>
      <c r="E60" s="77">
        <f t="shared" si="2"/>
        <v>2.7919080000000003</v>
      </c>
      <c r="F60" s="8"/>
      <c r="G60" s="75"/>
    </row>
    <row r="61" spans="1:7" ht="17.399999999999999" x14ac:dyDescent="0.3">
      <c r="A61" s="4" t="s">
        <v>1</v>
      </c>
      <c r="B61" s="6">
        <v>1</v>
      </c>
      <c r="C61" s="77">
        <v>0.2</v>
      </c>
      <c r="D61" s="11">
        <f>A!F26</f>
        <v>62.840100000000007</v>
      </c>
      <c r="E61" s="77">
        <f t="shared" si="2"/>
        <v>12.568020000000002</v>
      </c>
      <c r="F61" s="8"/>
      <c r="G61" s="75"/>
    </row>
    <row r="62" spans="1:7" ht="17.399999999999999" x14ac:dyDescent="0.3">
      <c r="A62" s="4" t="s">
        <v>2</v>
      </c>
      <c r="B62" s="6">
        <v>1</v>
      </c>
      <c r="C62" s="77">
        <v>0.28000000000000003</v>
      </c>
      <c r="D62" s="11">
        <f>A!F30</f>
        <v>13.98</v>
      </c>
      <c r="E62" s="77">
        <f t="shared" si="2"/>
        <v>3.9144000000000005</v>
      </c>
      <c r="F62" s="8"/>
      <c r="G62" s="75"/>
    </row>
    <row r="63" spans="1:7" ht="17.399999999999999" x14ac:dyDescent="0.3">
      <c r="A63" s="4"/>
      <c r="B63" s="6"/>
      <c r="C63" s="77"/>
      <c r="D63" s="11"/>
      <c r="E63" s="77"/>
      <c r="F63" s="235"/>
      <c r="G63" s="75"/>
    </row>
    <row r="64" spans="1:7" ht="17.399999999999999" x14ac:dyDescent="0.3">
      <c r="A64" s="4" t="s">
        <v>48</v>
      </c>
      <c r="B64" s="6">
        <v>0.8</v>
      </c>
      <c r="C64" s="77">
        <v>1.8</v>
      </c>
      <c r="D64" s="11">
        <f>A!F71</f>
        <v>0</v>
      </c>
      <c r="E64" s="77">
        <f t="shared" ref="E64:E69" si="3">B64*C64*D64</f>
        <v>0</v>
      </c>
      <c r="F64" s="8" t="s">
        <v>481</v>
      </c>
      <c r="G64" s="75"/>
    </row>
    <row r="65" spans="1:7" ht="17.399999999999999" x14ac:dyDescent="0.3">
      <c r="A65" s="4" t="s">
        <v>47</v>
      </c>
      <c r="B65" s="6">
        <v>0.8</v>
      </c>
      <c r="C65" s="77"/>
      <c r="D65" s="11">
        <f>A!F73</f>
        <v>0</v>
      </c>
      <c r="E65" s="77">
        <f t="shared" si="3"/>
        <v>0</v>
      </c>
      <c r="F65" s="8"/>
      <c r="G65" s="75"/>
    </row>
    <row r="66" spans="1:7" ht="17.399999999999999" x14ac:dyDescent="0.3">
      <c r="A66" s="4" t="s">
        <v>426</v>
      </c>
      <c r="B66" s="11">
        <v>0.35</v>
      </c>
      <c r="C66" s="77">
        <v>1.8</v>
      </c>
      <c r="D66" s="11">
        <v>0</v>
      </c>
      <c r="E66" s="77">
        <f t="shared" si="3"/>
        <v>0</v>
      </c>
      <c r="F66" s="8"/>
      <c r="G66" s="75"/>
    </row>
    <row r="67" spans="1:7" ht="17.399999999999999" x14ac:dyDescent="0.3">
      <c r="A67" s="4" t="s">
        <v>53</v>
      </c>
      <c r="B67" s="11">
        <v>0.35</v>
      </c>
      <c r="C67" s="77"/>
      <c r="D67" s="11">
        <v>0</v>
      </c>
      <c r="E67" s="77">
        <f t="shared" si="3"/>
        <v>0</v>
      </c>
      <c r="F67" s="8"/>
      <c r="G67" s="75"/>
    </row>
    <row r="68" spans="1:7" ht="17.399999999999999" x14ac:dyDescent="0.3">
      <c r="A68" s="4" t="s">
        <v>11</v>
      </c>
      <c r="B68" s="212">
        <v>0.55000000000000004</v>
      </c>
      <c r="C68" s="77">
        <v>1.8</v>
      </c>
      <c r="D68" s="11">
        <f>A!F34</f>
        <v>1.5275999999999998</v>
      </c>
      <c r="E68" s="77">
        <f t="shared" si="3"/>
        <v>1.512324</v>
      </c>
      <c r="F68" s="8"/>
      <c r="G68" s="75"/>
    </row>
    <row r="69" spans="1:7" ht="17.399999999999999" x14ac:dyDescent="0.3">
      <c r="A69" s="4" t="s">
        <v>3</v>
      </c>
      <c r="B69" s="212">
        <v>0.55000000000000004</v>
      </c>
      <c r="C69" s="77">
        <v>0.35</v>
      </c>
      <c r="D69" s="11">
        <f>A!F36</f>
        <v>17.345400000000001</v>
      </c>
      <c r="E69" s="77">
        <f t="shared" si="3"/>
        <v>3.3389895000000003</v>
      </c>
      <c r="F69" s="8"/>
      <c r="G69" s="75"/>
    </row>
    <row r="70" spans="1:7" x14ac:dyDescent="0.25">
      <c r="A70" s="82"/>
      <c r="B70" s="213"/>
      <c r="C70" s="78"/>
      <c r="D70" s="82"/>
      <c r="E70" s="78"/>
      <c r="F70" s="235"/>
      <c r="G70" s="75"/>
    </row>
    <row r="71" spans="1:7" ht="17.399999999999999" x14ac:dyDescent="0.3">
      <c r="A71" s="4" t="s">
        <v>393</v>
      </c>
      <c r="B71" s="212">
        <v>0.55000000000000004</v>
      </c>
      <c r="C71" s="77">
        <v>0.35</v>
      </c>
      <c r="D71" s="11">
        <v>24.465</v>
      </c>
      <c r="E71" s="77">
        <f>B71*C71*D71</f>
        <v>4.7095124999999998</v>
      </c>
      <c r="F71" s="174" t="s">
        <v>410</v>
      </c>
      <c r="G71" s="75"/>
    </row>
    <row r="72" spans="1:7" ht="17.399999999999999" x14ac:dyDescent="0.3">
      <c r="A72" s="4" t="s">
        <v>394</v>
      </c>
      <c r="B72" s="212">
        <v>0.45</v>
      </c>
      <c r="C72" s="77">
        <v>0.35</v>
      </c>
      <c r="D72" s="11">
        <v>24.395100000000003</v>
      </c>
      <c r="E72" s="77">
        <f>B72*C72*D72</f>
        <v>3.8422282500000007</v>
      </c>
      <c r="F72" s="8"/>
      <c r="G72" s="75"/>
    </row>
    <row r="73" spans="1:7" ht="17.399999999999999" x14ac:dyDescent="0.3">
      <c r="A73" s="4" t="s">
        <v>395</v>
      </c>
      <c r="B73" s="212">
        <v>0.6</v>
      </c>
      <c r="C73" s="77">
        <v>0.35</v>
      </c>
      <c r="D73" s="11">
        <v>10.47</v>
      </c>
      <c r="E73" s="77">
        <f>B73*C73*D73</f>
        <v>2.1987000000000001</v>
      </c>
      <c r="F73" s="8"/>
      <c r="G73" s="75"/>
    </row>
    <row r="74" spans="1:7" ht="17.399999999999999" x14ac:dyDescent="0.3">
      <c r="A74" s="4"/>
      <c r="B74" s="11"/>
      <c r="C74" s="77"/>
      <c r="D74" s="11"/>
      <c r="E74" s="77"/>
      <c r="F74" s="235"/>
      <c r="G74" s="75"/>
    </row>
    <row r="75" spans="1:7" ht="21" x14ac:dyDescent="0.45">
      <c r="A75" s="82"/>
      <c r="B75" s="82"/>
      <c r="C75" s="71" t="s">
        <v>59</v>
      </c>
      <c r="D75" s="3" t="s">
        <v>4</v>
      </c>
      <c r="E75" s="71" t="s">
        <v>60</v>
      </c>
      <c r="F75" s="8"/>
      <c r="G75" s="75"/>
    </row>
    <row r="76" spans="1:7" ht="17.399999999999999" x14ac:dyDescent="0.3">
      <c r="A76" s="3" t="s">
        <v>5</v>
      </c>
      <c r="B76" s="6"/>
      <c r="C76" s="76">
        <v>0.05</v>
      </c>
      <c r="D76" s="12">
        <f>SUM(D57:D73)</f>
        <v>292.03120000000001</v>
      </c>
      <c r="E76" s="56">
        <f>C76*D76</f>
        <v>14.601560000000001</v>
      </c>
      <c r="F76" s="8" t="s">
        <v>397</v>
      </c>
      <c r="G76" s="75"/>
    </row>
    <row r="77" spans="1:7" ht="17.399999999999999" x14ac:dyDescent="0.3">
      <c r="A77" s="5"/>
      <c r="B77" s="6"/>
      <c r="C77" s="76"/>
      <c r="D77" s="11"/>
      <c r="E77" s="77"/>
      <c r="F77" s="235"/>
      <c r="G77" s="75"/>
    </row>
    <row r="78" spans="1:7" ht="21" x14ac:dyDescent="0.45">
      <c r="A78" s="79" t="s">
        <v>85</v>
      </c>
      <c r="B78" s="49" t="s">
        <v>46</v>
      </c>
      <c r="C78" s="76"/>
      <c r="D78" s="19"/>
      <c r="E78" s="56">
        <f>SUM(E57:E73)+E76</f>
        <v>107.70393225000002</v>
      </c>
      <c r="F78" s="8" t="s">
        <v>482</v>
      </c>
      <c r="G78" s="75"/>
    </row>
    <row r="79" spans="1:7" ht="17.399999999999999" x14ac:dyDescent="0.3">
      <c r="A79" s="5"/>
      <c r="B79" s="6"/>
      <c r="C79" s="76"/>
      <c r="D79" s="4"/>
      <c r="E79" s="76"/>
      <c r="F79" s="235"/>
      <c r="G79" s="75"/>
    </row>
    <row r="80" spans="1:7" ht="21" x14ac:dyDescent="0.45">
      <c r="A80" s="230" t="s">
        <v>467</v>
      </c>
      <c r="B80" s="49" t="s">
        <v>45</v>
      </c>
      <c r="C80" s="231" t="s">
        <v>155</v>
      </c>
      <c r="D80" s="4"/>
      <c r="E80" s="81">
        <f>IF(D75=0,"",E78/D76)</f>
        <v>0.36880967598667547</v>
      </c>
      <c r="F80" s="8" t="s">
        <v>392</v>
      </c>
      <c r="G80" s="75"/>
    </row>
    <row r="81" spans="1:7" ht="23.4" customHeight="1" x14ac:dyDescent="0.45">
      <c r="A81" s="79" t="s">
        <v>468</v>
      </c>
      <c r="B81" s="48" t="s">
        <v>45</v>
      </c>
      <c r="C81" s="80" t="s">
        <v>469</v>
      </c>
      <c r="D81" s="78"/>
      <c r="E81" s="81">
        <f>IF(D76=0,"",E78/D76)*0.7</f>
        <v>0.25816677319067283</v>
      </c>
      <c r="F81" s="8"/>
      <c r="G81" s="75"/>
    </row>
    <row r="82" spans="1:7" s="66" customFormat="1" ht="17.399999999999999" customHeight="1" x14ac:dyDescent="0.3">
      <c r="F82" s="172"/>
    </row>
    <row r="83" spans="1:7" ht="21" x14ac:dyDescent="0.4">
      <c r="A83" s="55" t="s">
        <v>84</v>
      </c>
      <c r="F83" s="39"/>
    </row>
    <row r="84" spans="1:7" s="83" customFormat="1" ht="13.2" customHeight="1" x14ac:dyDescent="0.25">
      <c r="F84" s="173"/>
    </row>
    <row r="85" spans="1:7" s="83" customFormat="1" ht="21" x14ac:dyDescent="0.45">
      <c r="A85" s="44" t="s">
        <v>427</v>
      </c>
      <c r="B85" s="141"/>
      <c r="C85" s="52"/>
      <c r="D85" s="192" t="s">
        <v>430</v>
      </c>
      <c r="E85" s="193">
        <v>0.55000000000000004</v>
      </c>
      <c r="F85" s="173"/>
    </row>
    <row r="86" spans="1:7" ht="21" customHeight="1" x14ac:dyDescent="0.45">
      <c r="A86" s="79" t="s">
        <v>86</v>
      </c>
      <c r="B86" s="194" t="s">
        <v>163</v>
      </c>
      <c r="C86" s="87"/>
      <c r="D86" s="88" t="s">
        <v>87</v>
      </c>
      <c r="E86" s="56">
        <f>0.34*E85*0.76*A!F45</f>
        <v>53.810516139600011</v>
      </c>
      <c r="F86" s="8" t="s">
        <v>401</v>
      </c>
    </row>
    <row r="87" spans="1:7" ht="19.8" x14ac:dyDescent="0.4">
      <c r="A87" s="7" t="s">
        <v>69</v>
      </c>
      <c r="C87" s="20"/>
      <c r="D87" s="20"/>
      <c r="E87" s="20"/>
      <c r="F87" s="8"/>
    </row>
    <row r="88" spans="1:7" ht="19.8" x14ac:dyDescent="0.4">
      <c r="A88" s="7" t="s">
        <v>70</v>
      </c>
      <c r="B88" s="19"/>
      <c r="C88" s="20"/>
      <c r="D88" s="20"/>
      <c r="E88" s="20"/>
      <c r="F88" s="8"/>
    </row>
    <row r="89" spans="1:7" ht="17.399999999999999" customHeight="1" x14ac:dyDescent="0.3">
      <c r="A89" s="66"/>
      <c r="B89" s="66"/>
      <c r="C89" s="66"/>
      <c r="D89" s="66"/>
      <c r="E89" s="66"/>
      <c r="F89" s="66"/>
    </row>
    <row r="90" spans="1:7" ht="21" customHeight="1" x14ac:dyDescent="0.5">
      <c r="A90" s="184" t="s">
        <v>480</v>
      </c>
      <c r="B90" s="66"/>
      <c r="C90" s="66"/>
      <c r="D90" s="66"/>
      <c r="E90" s="66"/>
      <c r="F90" s="66"/>
    </row>
    <row r="91" spans="1:7" ht="21" customHeight="1" x14ac:dyDescent="0.4">
      <c r="A91" s="232" t="s">
        <v>470</v>
      </c>
      <c r="B91" s="66"/>
      <c r="C91" s="66"/>
      <c r="D91" s="66"/>
      <c r="E91" s="66"/>
      <c r="F91" s="66"/>
    </row>
    <row r="92" spans="1:7" ht="13.2" customHeight="1" x14ac:dyDescent="0.3">
      <c r="A92" s="66"/>
      <c r="B92" s="66"/>
      <c r="C92" s="66"/>
      <c r="D92" s="66"/>
      <c r="E92" s="66"/>
      <c r="F92" s="66"/>
    </row>
    <row r="93" spans="1:7" ht="21" customHeight="1" x14ac:dyDescent="0.5">
      <c r="A93" s="184" t="s">
        <v>477</v>
      </c>
      <c r="B93" s="185"/>
      <c r="C93" s="185"/>
      <c r="D93" s="185"/>
      <c r="E93" s="185"/>
    </row>
    <row r="94" spans="1:7" ht="21" customHeight="1" x14ac:dyDescent="0.4">
      <c r="A94" s="232" t="s">
        <v>500</v>
      </c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horizontalDpi="4294967292" verticalDpi="300" r:id="rId1"/>
  <headerFooter alignWithMargins="0">
    <oddHeader>&amp;F</oddHeader>
    <oddFooter>&amp;A&amp;RSeite &amp;P</oddFooter>
  </headerFooter>
  <rowBreaks count="1" manualBreakCount="1">
    <brk id="4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113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198</v>
      </c>
      <c r="B3" s="43" t="s">
        <v>194</v>
      </c>
      <c r="C3" s="181">
        <v>1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31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'Qh-JAN'!E9*('HT+HV'!E33+'HT+HV'!E41-'Qh-JAN'!E10)/('Qh-JAN'!E9-('HT+HV'!E33+'HT+HV'!E41-'Qh-JAN'!E10))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18.722273272687339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44.096273082461195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43.431329366763158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16.149399638003509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16.458805289877368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2.6577968551493059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17.822499422761101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58.538811104610417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1731.4410821339243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10</v>
      </c>
      <c r="C33" s="12">
        <v>0.5</v>
      </c>
      <c r="D33" s="11">
        <f>A!F5</f>
        <v>8.5806000000000004</v>
      </c>
      <c r="E33" s="13">
        <f>0.024*B33*C33*D33*0.567*C4</f>
        <v>18.098544743999998</v>
      </c>
      <c r="F33" s="8"/>
    </row>
    <row r="34" spans="1:6" ht="17.399999999999999" x14ac:dyDescent="0.3">
      <c r="A34" s="48" t="s">
        <v>160</v>
      </c>
      <c r="B34" s="13">
        <v>25</v>
      </c>
      <c r="C34" s="12">
        <v>0.5</v>
      </c>
      <c r="D34" s="11">
        <f>A!F7</f>
        <v>10.220599999999999</v>
      </c>
      <c r="E34" s="13">
        <f>0.024*B34*C34*D34*0.567*C4</f>
        <v>53.894245859999984</v>
      </c>
      <c r="F34" s="8"/>
    </row>
    <row r="35" spans="1:6" ht="17.399999999999999" x14ac:dyDescent="0.3">
      <c r="A35" s="48" t="s">
        <v>161</v>
      </c>
      <c r="B35" s="13">
        <v>17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59</v>
      </c>
      <c r="C36" s="12">
        <v>0.5</v>
      </c>
      <c r="D36" s="11">
        <f>A!F8</f>
        <v>4.7628000000000004</v>
      </c>
      <c r="E36" s="25">
        <f>0.024*B36*C36*D36*0.567*C4</f>
        <v>59.270740804799992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131.26353140879996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450.717973632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0.33612550322736567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0.99998564480240892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'Qh-JAN'!E27-E50*('Qh-JAN'!E37+'Qh-JAN'!E41)</f>
        <v>1149.4679315526237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115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'Qh-JAN'!E62*('HT+HV'!E78+'HT+HV'!E86-'Qh-JAN'!E63)/('Qh-JAN'!E62-('HT+HV'!E78+'HT+HV'!E86-'Qh-JAN'!E63))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18.627879655717059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46.091632330200582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45.159437122034248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15.606134158058454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15.936978754800933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2.2530544304905651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17.454150276793108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82.404720335947459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2080.5967724975762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10</v>
      </c>
      <c r="C86" s="77">
        <v>0.6</v>
      </c>
      <c r="D86" s="11">
        <f>A!F5</f>
        <v>8.5806000000000004</v>
      </c>
      <c r="E86" s="85">
        <f>0.024*B86*C86*D86*0.567*C4</f>
        <v>21.718253692799998</v>
      </c>
      <c r="F86" s="8"/>
    </row>
    <row r="87" spans="1:6" ht="17.399999999999999" x14ac:dyDescent="0.3">
      <c r="A87" s="48" t="s">
        <v>160</v>
      </c>
      <c r="B87" s="13">
        <v>25</v>
      </c>
      <c r="C87" s="77">
        <v>0.6</v>
      </c>
      <c r="D87" s="11">
        <f>A!F7</f>
        <v>10.220599999999999</v>
      </c>
      <c r="E87" s="85">
        <f>0.024*B87*C87*D87*0.567*C4</f>
        <v>64.673095031999992</v>
      </c>
      <c r="F87" s="8"/>
    </row>
    <row r="88" spans="1:6" ht="17.399999999999999" x14ac:dyDescent="0.3">
      <c r="A88" s="48" t="s">
        <v>161</v>
      </c>
      <c r="B88" s="13">
        <v>17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59</v>
      </c>
      <c r="C89" s="77">
        <v>0.6</v>
      </c>
      <c r="D89" s="11">
        <f>A!F8</f>
        <v>4.7628000000000004</v>
      </c>
      <c r="E89" s="86">
        <f>0.024*B89*C89*D89*0.567*C4</f>
        <v>71.124888965759993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157.51623769055999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450.717973632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0.2923364197054038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0.99997471170352881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'Qh-JAN'!E80-E103*('Qh-JAN'!E90+'Qh-JAN'!E94)</f>
        <v>1472.3779423820761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114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214</v>
      </c>
      <c r="B3" s="43" t="s">
        <v>194</v>
      </c>
      <c r="C3" s="181">
        <v>1.9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28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'Qh-FEB'!E9*('HT+HV'!E33+'HT+HV'!E41-'Qh-FEB'!E10)/('Qh-FEB'!E9-('HT+HV'!E33+'HT+HV'!E41-'Qh-FEB'!E10))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18.736159609052972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44.996273082461194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44.331329366763157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16.291929656103335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16.585865025383502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2.3002150444914014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17.804118160576433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49.070835401438181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1486.8473955709821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18</v>
      </c>
      <c r="C33" s="12">
        <v>0.5</v>
      </c>
      <c r="D33" s="11">
        <f>A!F5</f>
        <v>8.5806000000000004</v>
      </c>
      <c r="E33" s="13">
        <f>0.024*B33*C33*D33*0.567*C4</f>
        <v>29.4247308096</v>
      </c>
      <c r="F33" s="8"/>
    </row>
    <row r="34" spans="1:6" ht="17.399999999999999" x14ac:dyDescent="0.3">
      <c r="A34" s="48" t="s">
        <v>160</v>
      </c>
      <c r="B34" s="13">
        <v>29</v>
      </c>
      <c r="C34" s="12">
        <v>0.5</v>
      </c>
      <c r="D34" s="11">
        <f>A!F7</f>
        <v>10.220599999999999</v>
      </c>
      <c r="E34" s="13">
        <f>0.024*B34*C34*D34*0.567*C4</f>
        <v>56.467261468799997</v>
      </c>
      <c r="F34" s="8"/>
    </row>
    <row r="35" spans="1:6" ht="17.399999999999999" x14ac:dyDescent="0.3">
      <c r="A35" s="48" t="s">
        <v>161</v>
      </c>
      <c r="B35" s="13">
        <v>24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47</v>
      </c>
      <c r="C36" s="12">
        <v>0.5</v>
      </c>
      <c r="D36" s="11">
        <f>A!F8</f>
        <v>4.7628000000000004</v>
      </c>
      <c r="E36" s="25">
        <f>0.024*B36*C36*D36*0.567*C4</f>
        <v>42.646416019200004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128.5384082976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407.10010521599997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0.36025116976305627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0.99997261383930947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'Qh-FEB'!E27-E50*('Qh-FEB'!E37+'Qh-FEB'!E41)</f>
        <v>951.22355113978529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116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'Qh-FEB'!E62*('HT+HV'!E78+'HT+HV'!E86-'Qh-FEB'!E63)/('Qh-FEB'!E62-('HT+HV'!E78+'HT+HV'!E86-'Qh-FEB'!E63))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18.646485672931206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46.991632330200581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46.059437122034247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15.775827450155534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16.090129817060888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1.9384517836080846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17.433764311975445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69.30706413983178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1786.6877651947405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18</v>
      </c>
      <c r="C86" s="77">
        <v>0.6</v>
      </c>
      <c r="D86" s="11">
        <f>A!F5</f>
        <v>8.5806000000000004</v>
      </c>
      <c r="E86" s="85">
        <f>0.024*B86*C86*D86*0.567*C4</f>
        <v>35.309676971519991</v>
      </c>
      <c r="F86" s="8"/>
    </row>
    <row r="87" spans="1:6" ht="17.399999999999999" x14ac:dyDescent="0.3">
      <c r="A87" s="48" t="s">
        <v>160</v>
      </c>
      <c r="B87" s="13">
        <v>29</v>
      </c>
      <c r="C87" s="77">
        <v>0.6</v>
      </c>
      <c r="D87" s="11">
        <f>A!F7</f>
        <v>10.220599999999999</v>
      </c>
      <c r="E87" s="85">
        <f>0.024*B87*C87*D87*0.567*C4</f>
        <v>67.760713762559988</v>
      </c>
      <c r="F87" s="8"/>
    </row>
    <row r="88" spans="1:6" ht="17.399999999999999" x14ac:dyDescent="0.3">
      <c r="A88" s="48" t="s">
        <v>161</v>
      </c>
      <c r="B88" s="13">
        <v>24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47</v>
      </c>
      <c r="C89" s="77">
        <v>0.6</v>
      </c>
      <c r="D89" s="11">
        <f>A!F8</f>
        <v>4.7628000000000004</v>
      </c>
      <c r="E89" s="86">
        <f>0.024*B89*C89*D89*0.567*C4</f>
        <v>51.175699223039999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154.24608995711998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407.10010521599997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0.31418259312473429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0.99995534253413354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'Qh-FEB'!E80-E103*('Qh-FEB'!E90+'Qh-FEB'!E94)</f>
        <v>1225.3666383201708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117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217</v>
      </c>
      <c r="B3" s="43" t="s">
        <v>194</v>
      </c>
      <c r="C3" s="181">
        <v>4.7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31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'Qh-MAR'!E9*('HT+HV'!E33+'HT+HV'!E41-'Qh-MAR'!E10)/('Qh-MAR'!E9-('HT+HV'!E33+'HT+HV'!E41-'Qh-MAR'!E10))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18.779361544412719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47.796273082461198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47.131329366763161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16.735356379080567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16.981161980291471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1.3179299036010692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17.746932011557462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42.750642600344811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1379.2889392502689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31</v>
      </c>
      <c r="C33" s="12">
        <v>0.5</v>
      </c>
      <c r="D33" s="11">
        <f>A!F5</f>
        <v>8.5806000000000004</v>
      </c>
      <c r="E33" s="13">
        <f>0.024*B33*C33*D33*0.567*C4</f>
        <v>56.105488706399996</v>
      </c>
      <c r="F33" s="8"/>
    </row>
    <row r="34" spans="1:6" ht="17.399999999999999" x14ac:dyDescent="0.3">
      <c r="A34" s="48" t="s">
        <v>160</v>
      </c>
      <c r="B34" s="13">
        <v>68</v>
      </c>
      <c r="C34" s="12">
        <v>0.5</v>
      </c>
      <c r="D34" s="11">
        <f>A!F7</f>
        <v>10.220599999999999</v>
      </c>
      <c r="E34" s="13">
        <f>0.024*B34*C34*D34*0.567*C4</f>
        <v>146.59234873919999</v>
      </c>
      <c r="F34" s="8"/>
    </row>
    <row r="35" spans="1:6" ht="17.399999999999999" x14ac:dyDescent="0.3">
      <c r="A35" s="48" t="s">
        <v>161</v>
      </c>
      <c r="B35" s="13">
        <v>60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98</v>
      </c>
      <c r="C36" s="12">
        <v>0.5</v>
      </c>
      <c r="D36" s="11">
        <f>A!F8</f>
        <v>4.7628000000000004</v>
      </c>
      <c r="E36" s="25">
        <f>0.024*B36*C36*D36*0.567*C4</f>
        <v>98.449705065599986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301.14754251119996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450.717973632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0.54511095880453209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0.99884585831488126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'Qh-MAR'!E27-E50*('Qh-MAR'!E37+'Qh-MAR'!E41)</f>
        <v>628.29118244085305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118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'Qh-MAR'!E62*('HT+HV'!E78+'HT+HV'!E86-'Qh-MAR'!E63)/('Qh-MAR'!E62-('HT+HV'!E78+'HT+HV'!E86-'Qh-MAR'!E63))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18.704371059819664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49.791632330200585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48.859437122034251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16.303762136679776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16.566599788536301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1.065123207243277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17.370341310320498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60.96403520697173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1657.4204840996611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31</v>
      </c>
      <c r="C86" s="77">
        <v>0.6</v>
      </c>
      <c r="D86" s="11">
        <f>A!F5</f>
        <v>8.5806000000000004</v>
      </c>
      <c r="E86" s="85">
        <f>0.024*B86*C86*D86*0.567*C4</f>
        <v>67.326586447679986</v>
      </c>
      <c r="F86" s="8"/>
    </row>
    <row r="87" spans="1:6" ht="17.399999999999999" x14ac:dyDescent="0.3">
      <c r="A87" s="48" t="s">
        <v>160</v>
      </c>
      <c r="B87" s="13">
        <v>68</v>
      </c>
      <c r="C87" s="77">
        <v>0.6</v>
      </c>
      <c r="D87" s="11">
        <f>A!F7</f>
        <v>10.220599999999999</v>
      </c>
      <c r="E87" s="85">
        <f>0.024*B87*C87*D87*0.567*C4</f>
        <v>175.91081848703999</v>
      </c>
      <c r="F87" s="8"/>
    </row>
    <row r="88" spans="1:6" ht="17.399999999999999" x14ac:dyDescent="0.3">
      <c r="A88" s="48" t="s">
        <v>161</v>
      </c>
      <c r="B88" s="13">
        <v>60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98</v>
      </c>
      <c r="C89" s="77">
        <v>0.6</v>
      </c>
      <c r="D89" s="11">
        <f>A!F8</f>
        <v>4.7628000000000004</v>
      </c>
      <c r="E89" s="86">
        <f>0.024*B89*C89*D89*0.567*C4</f>
        <v>118.13964607871998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361.37705101343994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450.717973632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0.48997525518491691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0.99865529465090142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'Qh-MAR'!E80-E103*('Qh-MAR'!E90+'Qh-MAR'!E94)</f>
        <v>846.41748797783816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119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218</v>
      </c>
      <c r="B3" s="43" t="s">
        <v>194</v>
      </c>
      <c r="C3" s="181">
        <v>9.1999999999999993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30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'Qh-APR'!E9*('HT+HV'!E33+'HT+HV'!E41-'Qh-APR'!E10)/('Qh-APR'!E9-('HT+HV'!E33+'HT+HV'!E41-'Qh-APR'!E10))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18.848793226240886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52.296273082461198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51.631329366763154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17.448006469579688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17.616460657822124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5.8113965463000072E-2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17.655025700634106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27.003866247736322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916.10381943708296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58</v>
      </c>
      <c r="C33" s="12">
        <v>0.5</v>
      </c>
      <c r="D33" s="11">
        <f>A!F5</f>
        <v>8.5806000000000004</v>
      </c>
      <c r="E33" s="13">
        <f>0.024*B33*C33*D33*0.567*C4</f>
        <v>101.585380176</v>
      </c>
      <c r="F33" s="8"/>
    </row>
    <row r="34" spans="1:6" ht="17.399999999999999" x14ac:dyDescent="0.3">
      <c r="A34" s="48" t="s">
        <v>160</v>
      </c>
      <c r="B34" s="13">
        <v>134</v>
      </c>
      <c r="C34" s="12">
        <v>0.5</v>
      </c>
      <c r="D34" s="11">
        <f>A!F7</f>
        <v>10.220599999999999</v>
      </c>
      <c r="E34" s="13">
        <f>0.024*B34*C34*D34*0.567*C4</f>
        <v>279.55466884800001</v>
      </c>
      <c r="F34" s="8"/>
    </row>
    <row r="35" spans="1:6" ht="17.399999999999999" x14ac:dyDescent="0.3">
      <c r="A35" s="48" t="s">
        <v>161</v>
      </c>
      <c r="B35" s="13">
        <v>114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147</v>
      </c>
      <c r="C36" s="12">
        <v>0.5</v>
      </c>
      <c r="D36" s="11">
        <f>A!F8</f>
        <v>4.7628000000000004</v>
      </c>
      <c r="E36" s="25">
        <f>0.024*B36*C36*D36*0.567*C4</f>
        <v>142.910862192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524.05091121600003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436.17868415999999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1.0481667852515133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0.88506471644082485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'Qh-APR'!E27-E50*('Qh-APR'!E37+'Qh-APR'!E41)</f>
        <v>66.238484887535492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120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'Qh-APR'!E62*('HT+HV'!E78+'HT+HV'!E86-'Qh-APR'!E63)/('Qh-APR'!E62-('HT+HV'!E78+'HT+HV'!E86-'Qh-APR'!E63))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18.797401145890397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54.291632330200585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53.359437122034251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17.152228597165156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17.332355099836061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0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17.332355099836061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39.047766412118236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1100.5981814248996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58</v>
      </c>
      <c r="C86" s="77">
        <v>0.6</v>
      </c>
      <c r="D86" s="11">
        <f>A!F5</f>
        <v>8.5806000000000004</v>
      </c>
      <c r="E86" s="85">
        <f>0.024*B86*C86*D86*0.567*C4</f>
        <v>121.9024562112</v>
      </c>
      <c r="F86" s="8"/>
    </row>
    <row r="87" spans="1:6" ht="17.399999999999999" x14ac:dyDescent="0.3">
      <c r="A87" s="48" t="s">
        <v>160</v>
      </c>
      <c r="B87" s="13">
        <v>134</v>
      </c>
      <c r="C87" s="77">
        <v>0.6</v>
      </c>
      <c r="D87" s="11">
        <f>A!F7</f>
        <v>10.220599999999999</v>
      </c>
      <c r="E87" s="85">
        <f>0.024*B87*C87*D87*0.567*C4</f>
        <v>335.46560261759993</v>
      </c>
      <c r="F87" s="8"/>
    </row>
    <row r="88" spans="1:6" ht="17.399999999999999" x14ac:dyDescent="0.3">
      <c r="A88" s="48" t="s">
        <v>161</v>
      </c>
      <c r="B88" s="13">
        <v>114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147</v>
      </c>
      <c r="C89" s="77">
        <v>0.6</v>
      </c>
      <c r="D89" s="11">
        <f>A!F8</f>
        <v>4.7628000000000004</v>
      </c>
      <c r="E89" s="86">
        <f>0.024*B89*C89*D89*0.567*C4</f>
        <v>171.49303463039999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628.86109345919988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436.17868415999999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0.96769174762794563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0.90683214968725356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'Qh-APR'!E80-E103*('Qh-APR'!E90+'Qh-APR'!E94)</f>
        <v>134.78587038404612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121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95</v>
      </c>
      <c r="B3" s="43" t="s">
        <v>194</v>
      </c>
      <c r="C3" s="181">
        <v>14.1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31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'Qh-MAI'!E9*('HT+HV'!E33+'HT+HV'!E41-'Qh-MAI'!E10)/('Qh-MAI'!E9-('HT+HV'!E33+'HT+HV'!E41-'Qh-MAI'!E10))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18.924396613120443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57.196273082461197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56.53132936676316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18.224003234789844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18.308230328911062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0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18.308230328911062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13.949722903276538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473.32258136721344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75</v>
      </c>
      <c r="C33" s="12">
        <v>0.5</v>
      </c>
      <c r="D33" s="11">
        <f>A!F5</f>
        <v>8.5806000000000004</v>
      </c>
      <c r="E33" s="13">
        <f>0.024*B33*C33*D33*0.567*C4</f>
        <v>135.73908557999999</v>
      </c>
      <c r="F33" s="8"/>
    </row>
    <row r="34" spans="1:6" ht="17.399999999999999" x14ac:dyDescent="0.3">
      <c r="A34" s="48" t="s">
        <v>160</v>
      </c>
      <c r="B34" s="13">
        <v>137</v>
      </c>
      <c r="C34" s="12">
        <v>0.5</v>
      </c>
      <c r="D34" s="11">
        <f>A!F7</f>
        <v>10.220599999999999</v>
      </c>
      <c r="E34" s="13">
        <f>0.024*B34*C34*D34*0.567*C4</f>
        <v>295.34046731279994</v>
      </c>
      <c r="F34" s="8"/>
    </row>
    <row r="35" spans="1:6" ht="17.399999999999999" x14ac:dyDescent="0.3">
      <c r="A35" s="48" t="s">
        <v>161</v>
      </c>
      <c r="B35" s="13">
        <v>127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132</v>
      </c>
      <c r="C36" s="12">
        <v>0.5</v>
      </c>
      <c r="D36" s="11">
        <f>A!F8</f>
        <v>4.7628000000000004</v>
      </c>
      <c r="E36" s="25">
        <f>0.024*B36*C36*D36*0.567*C4</f>
        <v>132.60572519040002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563.68527808319993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450.717973632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2.1431541440196047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0.46646570970164147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'Qh-MAI'!E27-E50*('Qh-MAI'!E37+'Qh-MAI'!E41)</f>
        <v>0.13824863222981776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122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'Qh-MAI'!E62*('HT+HV'!E78+'HT+HV'!E86-'Qh-MAI'!E63)/('Qh-MAI'!E62-('HT+HV'!E78+'HT+HV'!E86-'Qh-MAI'!E63))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18.898700572945199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59.191632330200584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58.25943712203425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18.076114298582578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18.166177549918032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0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18.166177549918032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20.17467931292812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568.64239373619785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75</v>
      </c>
      <c r="C86" s="77">
        <v>0.6</v>
      </c>
      <c r="D86" s="11">
        <f>A!F5</f>
        <v>8.5806000000000004</v>
      </c>
      <c r="E86" s="85">
        <f>0.024*B86*C86*D86*0.567*C4</f>
        <v>162.88690269599999</v>
      </c>
      <c r="F86" s="8"/>
    </row>
    <row r="87" spans="1:6" ht="17.399999999999999" x14ac:dyDescent="0.3">
      <c r="A87" s="48" t="s">
        <v>160</v>
      </c>
      <c r="B87" s="13">
        <v>137</v>
      </c>
      <c r="C87" s="77">
        <v>0.6</v>
      </c>
      <c r="D87" s="11">
        <f>A!F7</f>
        <v>10.220599999999999</v>
      </c>
      <c r="E87" s="85">
        <f>0.024*B87*C87*D87*0.567*C4</f>
        <v>354.40856077535989</v>
      </c>
      <c r="F87" s="8"/>
    </row>
    <row r="88" spans="1:6" ht="17.399999999999999" x14ac:dyDescent="0.3">
      <c r="A88" s="48" t="s">
        <v>161</v>
      </c>
      <c r="B88" s="13">
        <v>127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132</v>
      </c>
      <c r="C89" s="77">
        <v>0.6</v>
      </c>
      <c r="D89" s="11">
        <f>A!F8</f>
        <v>4.7628000000000004</v>
      </c>
      <c r="E89" s="86">
        <f>0.024*B89*C89*D89*0.567*C4</f>
        <v>159.12687022848002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676.4223336998399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450.717973632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1.9821601761453229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0.50365919363604372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'Qh-MAI'!E80-E103*('Qh-MAI'!E90+'Qh-MAI'!E94)</f>
        <v>0.94781543076078378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123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219</v>
      </c>
      <c r="B3" s="43" t="s">
        <v>194</v>
      </c>
      <c r="C3" s="181">
        <v>16.7</v>
      </c>
      <c r="D3" s="35" t="s">
        <v>196</v>
      </c>
      <c r="E3" s="120"/>
      <c r="F3" s="8" t="s">
        <v>398</v>
      </c>
    </row>
    <row r="4" spans="1:6" ht="19.8" x14ac:dyDescent="0.4">
      <c r="A4" s="34"/>
      <c r="B4" s="43" t="s">
        <v>195</v>
      </c>
      <c r="C4" s="126">
        <v>30</v>
      </c>
      <c r="D4" s="35" t="s">
        <v>197</v>
      </c>
      <c r="E4" s="120"/>
      <c r="F4" s="8" t="s">
        <v>495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164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0"/>
    </row>
    <row r="8" spans="1:6" ht="18" x14ac:dyDescent="0.35">
      <c r="A8" s="93" t="s">
        <v>104</v>
      </c>
      <c r="B8" s="118"/>
      <c r="C8" s="119"/>
      <c r="D8" s="119"/>
      <c r="E8" s="120"/>
      <c r="F8" s="8"/>
    </row>
    <row r="9" spans="1:6" ht="21" x14ac:dyDescent="0.45">
      <c r="A9" s="22" t="s">
        <v>165</v>
      </c>
      <c r="B9" s="32" t="s">
        <v>166</v>
      </c>
      <c r="C9" s="99"/>
      <c r="D9" s="100"/>
      <c r="E9" s="24">
        <f>4*A!F47/0.13</f>
        <v>3728.022941538462</v>
      </c>
      <c r="F9" s="8" t="s">
        <v>402</v>
      </c>
    </row>
    <row r="10" spans="1:6" ht="21" x14ac:dyDescent="0.45">
      <c r="A10" s="22" t="s">
        <v>167</v>
      </c>
      <c r="B10" s="32" t="s">
        <v>169</v>
      </c>
      <c r="C10" s="99"/>
      <c r="D10" s="100"/>
      <c r="E10" s="12">
        <f>'HT+HV'!E12+'HT+HV'!E41</f>
        <v>76.139741243200007</v>
      </c>
      <c r="F10" s="8" t="s">
        <v>403</v>
      </c>
    </row>
    <row r="11" spans="1:6" ht="21" x14ac:dyDescent="0.45">
      <c r="A11" s="22" t="s">
        <v>168</v>
      </c>
      <c r="B11" s="26" t="s">
        <v>170</v>
      </c>
      <c r="C11" s="45"/>
      <c r="D11" s="100"/>
      <c r="E11" s="12">
        <f>'Qh-JUN'!E9*('HT+HV'!E33+'HT+HV'!E41-'Qh-JUN'!E10)/('Qh-JUN'!E9-('HT+HV'!E33+'HT+HV'!E41-'Qh-JUN'!E10))</f>
        <v>58.422054268605713</v>
      </c>
      <c r="F11" s="8" t="s">
        <v>404</v>
      </c>
    </row>
    <row r="12" spans="1:6" ht="19.8" x14ac:dyDescent="0.4">
      <c r="A12" s="98" t="s">
        <v>171</v>
      </c>
      <c r="B12" s="26" t="s">
        <v>172</v>
      </c>
      <c r="C12" s="99"/>
      <c r="D12" s="100"/>
      <c r="E12" s="12">
        <f>E9/(E9+E11)</f>
        <v>0.98457073737151879</v>
      </c>
      <c r="F12" s="8" t="s">
        <v>405</v>
      </c>
    </row>
    <row r="13" spans="1:6" ht="19.8" x14ac:dyDescent="0.4">
      <c r="A13" s="98" t="s">
        <v>173</v>
      </c>
      <c r="B13" s="26" t="s">
        <v>174</v>
      </c>
      <c r="C13" s="99"/>
      <c r="D13" s="100"/>
      <c r="E13" s="12">
        <f>E9/(E9+E10)</f>
        <v>0.97998515111148565</v>
      </c>
      <c r="F13" s="8" t="s">
        <v>406</v>
      </c>
    </row>
    <row r="14" spans="1:6" ht="21" x14ac:dyDescent="0.45">
      <c r="A14" s="98" t="s">
        <v>175</v>
      </c>
      <c r="B14" s="124" t="s">
        <v>176</v>
      </c>
      <c r="C14" s="99"/>
      <c r="D14" s="100"/>
      <c r="E14" s="24">
        <f>E12*18*A!F45/(E13*('HT+HV'!E33+'HT+HV'!E41))</f>
        <v>51.228209945491173</v>
      </c>
      <c r="F14" s="8" t="s">
        <v>407</v>
      </c>
    </row>
    <row r="15" spans="1:6" ht="21" x14ac:dyDescent="0.45">
      <c r="A15" s="98" t="s">
        <v>177</v>
      </c>
      <c r="B15" s="124" t="s">
        <v>178</v>
      </c>
      <c r="C15" s="99"/>
      <c r="D15" s="100"/>
      <c r="E15" s="125">
        <f>C3+E12*(19-C3)</f>
        <v>18.964512695954493</v>
      </c>
      <c r="F15" s="8" t="s">
        <v>408</v>
      </c>
    </row>
    <row r="16" spans="1:6" ht="21" x14ac:dyDescent="0.45">
      <c r="A16" s="98" t="s">
        <v>179</v>
      </c>
      <c r="B16" s="32" t="s">
        <v>180</v>
      </c>
      <c r="C16" s="99"/>
      <c r="D16" s="100"/>
      <c r="E16" s="24">
        <f>1.5*('HT+HV'!E33+0.34*0.5*0.76*A!F45)*31</f>
        <v>5760.2645079990016</v>
      </c>
      <c r="F16" s="8" t="s">
        <v>483</v>
      </c>
    </row>
    <row r="17" spans="1:6" ht="21" x14ac:dyDescent="0.45">
      <c r="A17" s="98" t="s">
        <v>181</v>
      </c>
      <c r="B17" s="124" t="s">
        <v>182</v>
      </c>
      <c r="C17" s="99"/>
      <c r="D17" s="100"/>
      <c r="E17" s="125">
        <f>C3+E16/('HT+HV'!E33+'HT+HV'!E41)</f>
        <v>59.796273082461198</v>
      </c>
      <c r="F17" s="8" t="s">
        <v>409</v>
      </c>
    </row>
    <row r="18" spans="1:6" ht="21" x14ac:dyDescent="0.45">
      <c r="A18" s="98" t="s">
        <v>183</v>
      </c>
      <c r="B18" s="124" t="s">
        <v>184</v>
      </c>
      <c r="C18" s="99"/>
      <c r="D18" s="100"/>
      <c r="E18" s="125">
        <f>C3+E12*(E17-C3)</f>
        <v>59.131329366763154</v>
      </c>
      <c r="F18" s="8" t="s">
        <v>411</v>
      </c>
    </row>
    <row r="19" spans="1:6" ht="21.6" x14ac:dyDescent="0.45">
      <c r="A19" s="98" t="s">
        <v>185</v>
      </c>
      <c r="B19" s="124" t="s">
        <v>186</v>
      </c>
      <c r="C19" s="99"/>
      <c r="D19" s="100"/>
      <c r="E19" s="125">
        <f>C3+E13*(E15-C3)*EXP(-7/E14)</f>
        <v>18.635756620411559</v>
      </c>
      <c r="F19" s="8" t="s">
        <v>484</v>
      </c>
    </row>
    <row r="20" spans="1:6" ht="21" x14ac:dyDescent="0.45">
      <c r="A20" s="98" t="s">
        <v>187</v>
      </c>
      <c r="B20" s="124" t="s">
        <v>188</v>
      </c>
      <c r="C20" s="99"/>
      <c r="D20" s="100"/>
      <c r="E20" s="125">
        <f>C3+(E19-C3)/E13</f>
        <v>18.675291787039885</v>
      </c>
      <c r="F20" s="8" t="s">
        <v>485</v>
      </c>
    </row>
    <row r="21" spans="1:6" ht="21" x14ac:dyDescent="0.45">
      <c r="A21" s="22" t="s">
        <v>189</v>
      </c>
      <c r="B21" s="124" t="s">
        <v>190</v>
      </c>
      <c r="C21" s="99"/>
      <c r="D21" s="100"/>
      <c r="E21" s="125">
        <f>IF(E14*LN((E13*(E18-E20))/(E17-19))&lt;0,0,E14*LN((E13*(E18-E20))/(E17-19)))</f>
        <v>0</v>
      </c>
      <c r="F21" s="8" t="s">
        <v>486</v>
      </c>
    </row>
    <row r="22" spans="1:6" ht="21" x14ac:dyDescent="0.45">
      <c r="A22" s="98" t="s">
        <v>191</v>
      </c>
      <c r="B22" s="124" t="s">
        <v>192</v>
      </c>
      <c r="C22" s="99"/>
      <c r="D22" s="100"/>
      <c r="E22" s="125">
        <f>IF(E21&gt;0,E18+(19-E17)/E13,E20)</f>
        <v>18.675291787039885</v>
      </c>
      <c r="F22" s="8" t="s">
        <v>487</v>
      </c>
    </row>
    <row r="23" spans="1:6" ht="21" x14ac:dyDescent="0.45">
      <c r="A23" s="98" t="s">
        <v>193</v>
      </c>
      <c r="B23" s="72"/>
      <c r="C23" s="11"/>
      <c r="D23" s="11"/>
      <c r="E23" s="24">
        <f>0.001*(('HT+HV'!E33+'HT+HV'!E41)*((19-C3)*7+(19-E17)*E21)-18*A!F45*E12*(E15-E22))*C4</f>
        <v>6.3366088237397822</v>
      </c>
      <c r="F23" s="8" t="s">
        <v>488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435</v>
      </c>
      <c r="F25" s="8"/>
    </row>
    <row r="26" spans="1:6" x14ac:dyDescent="0.25">
      <c r="A26" s="83"/>
      <c r="B26" s="83"/>
      <c r="C26" s="83"/>
      <c r="D26" s="83"/>
      <c r="E26" s="83"/>
      <c r="F26" s="173"/>
    </row>
    <row r="27" spans="1:6" ht="21" x14ac:dyDescent="0.45">
      <c r="A27" s="22" t="s">
        <v>82</v>
      </c>
      <c r="B27" s="72" t="s">
        <v>199</v>
      </c>
      <c r="C27" s="11"/>
      <c r="D27" s="11"/>
      <c r="E27" s="24">
        <f>0.024*('HT+HV'!E33+'HT+HV'!E41)*(19-C3)*C4-E23</f>
        <v>215.00499087779949</v>
      </c>
      <c r="F27" s="8" t="s">
        <v>489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173"/>
    </row>
    <row r="32" spans="1:6" ht="21" x14ac:dyDescent="0.45">
      <c r="B32" s="21" t="s">
        <v>74</v>
      </c>
      <c r="C32" s="3" t="s">
        <v>75</v>
      </c>
      <c r="D32" s="3" t="s">
        <v>76</v>
      </c>
      <c r="E32" s="3" t="s">
        <v>73</v>
      </c>
      <c r="F32" s="8"/>
    </row>
    <row r="33" spans="1:6" ht="17.399999999999999" x14ac:dyDescent="0.3">
      <c r="A33" s="48" t="s">
        <v>159</v>
      </c>
      <c r="B33" s="13">
        <v>83</v>
      </c>
      <c r="C33" s="12">
        <v>0.5</v>
      </c>
      <c r="D33" s="11">
        <f>A!F5</f>
        <v>8.5806000000000004</v>
      </c>
      <c r="E33" s="13">
        <f>0.024*B33*C33*D33*0.567*C4</f>
        <v>145.37218197599998</v>
      </c>
      <c r="F33" s="8"/>
    </row>
    <row r="34" spans="1:6" ht="17.399999999999999" x14ac:dyDescent="0.3">
      <c r="A34" s="48" t="s">
        <v>160</v>
      </c>
      <c r="B34" s="13">
        <v>150</v>
      </c>
      <c r="C34" s="12">
        <v>0.5</v>
      </c>
      <c r="D34" s="11">
        <f>A!F7</f>
        <v>10.220599999999999</v>
      </c>
      <c r="E34" s="13">
        <f>0.024*B34*C34*D34*0.567*C4</f>
        <v>312.9343308</v>
      </c>
      <c r="F34" s="8"/>
    </row>
    <row r="35" spans="1:6" ht="17.399999999999999" x14ac:dyDescent="0.3">
      <c r="A35" s="48" t="s">
        <v>161</v>
      </c>
      <c r="B35" s="13">
        <v>136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162</v>
      </c>
      <c r="B36" s="13">
        <v>124</v>
      </c>
      <c r="C36" s="12">
        <v>0.5</v>
      </c>
      <c r="D36" s="11">
        <f>A!F8</f>
        <v>4.7628000000000004</v>
      </c>
      <c r="E36" s="25">
        <f>0.024*B36*C36*D36*0.567*C4</f>
        <v>120.55065926399999</v>
      </c>
      <c r="F36" s="8"/>
    </row>
    <row r="37" spans="1:6" ht="21" x14ac:dyDescent="0.45">
      <c r="A37" s="22" t="s">
        <v>432</v>
      </c>
      <c r="B37" s="74" t="s">
        <v>433</v>
      </c>
      <c r="C37" s="4"/>
      <c r="D37" s="4"/>
      <c r="E37" s="24">
        <f>SUM(E33:E36)</f>
        <v>578.85717204000002</v>
      </c>
      <c r="F37" s="176" t="s">
        <v>412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173"/>
    </row>
    <row r="41" spans="1:6" ht="21" x14ac:dyDescent="0.45">
      <c r="A41" s="22" t="s">
        <v>78</v>
      </c>
      <c r="B41" s="74" t="s">
        <v>79</v>
      </c>
      <c r="C41" s="27"/>
      <c r="D41" s="33"/>
      <c r="E41" s="24">
        <f>0.024*5*A!F47*C4</f>
        <v>436.17868415999999</v>
      </c>
      <c r="F41" s="8" t="s">
        <v>490</v>
      </c>
    </row>
    <row r="42" spans="1:6" ht="19.8" x14ac:dyDescent="0.4">
      <c r="A42" s="34"/>
      <c r="B42" s="43" t="s">
        <v>77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103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0"/>
    </row>
    <row r="46" spans="1:6" ht="18" x14ac:dyDescent="0.35">
      <c r="A46" s="93" t="s">
        <v>104</v>
      </c>
      <c r="B46" s="43"/>
      <c r="C46" s="36"/>
      <c r="D46" s="35"/>
      <c r="F46" s="8"/>
    </row>
    <row r="47" spans="1:6" ht="21" x14ac:dyDescent="0.45">
      <c r="A47" s="98" t="s">
        <v>105</v>
      </c>
      <c r="B47" s="32" t="s">
        <v>215</v>
      </c>
      <c r="C47" s="99"/>
      <c r="D47" s="100"/>
      <c r="E47" s="24">
        <f>50*A!F45/('HT+HV'!E33+'HT+HV'!E41)</f>
        <v>141.6378257240091</v>
      </c>
      <c r="F47" s="8" t="s">
        <v>491</v>
      </c>
    </row>
    <row r="48" spans="1:6" ht="21" x14ac:dyDescent="0.45">
      <c r="A48" s="98" t="s">
        <v>106</v>
      </c>
      <c r="B48" s="32" t="s">
        <v>110</v>
      </c>
      <c r="C48" s="99"/>
      <c r="D48" s="100"/>
      <c r="E48" s="12">
        <f>(E41+E37)/(E27)</f>
        <v>4.7209874154824023</v>
      </c>
      <c r="F48" s="8" t="s">
        <v>492</v>
      </c>
    </row>
    <row r="49" spans="1:6" ht="21" x14ac:dyDescent="0.45">
      <c r="A49" s="22" t="s">
        <v>107</v>
      </c>
      <c r="B49" s="26" t="s">
        <v>108</v>
      </c>
      <c r="C49" s="45"/>
      <c r="D49" s="100"/>
      <c r="E49" s="12">
        <f>1+E47/16</f>
        <v>9.852364107750569</v>
      </c>
      <c r="F49" s="8" t="s">
        <v>493</v>
      </c>
    </row>
    <row r="50" spans="1:6" ht="21.6" x14ac:dyDescent="0.45">
      <c r="A50" s="98" t="s">
        <v>109</v>
      </c>
      <c r="B50" s="32" t="s">
        <v>158</v>
      </c>
      <c r="C50" s="99"/>
      <c r="D50" s="100"/>
      <c r="E50" s="12">
        <f>(1-POWER(E48,E49))/(1-POWER(E48,E49+1))</f>
        <v>0.21182005622346547</v>
      </c>
      <c r="F50" s="8" t="s">
        <v>494</v>
      </c>
    </row>
    <row r="51" spans="1:6" ht="17.399999999999999" x14ac:dyDescent="0.3">
      <c r="A51" s="19"/>
      <c r="F51" s="8"/>
    </row>
    <row r="52" spans="1:6" ht="21" x14ac:dyDescent="0.4">
      <c r="A52" s="2" t="s">
        <v>89</v>
      </c>
      <c r="B52" s="1"/>
      <c r="C52" s="1"/>
      <c r="D52" s="1"/>
      <c r="E52" s="1"/>
      <c r="F52" s="8"/>
    </row>
    <row r="53" spans="1:6" s="83" customFormat="1" x14ac:dyDescent="0.25">
      <c r="F53" s="173"/>
    </row>
    <row r="54" spans="1:6" ht="21" x14ac:dyDescent="0.45">
      <c r="A54" s="22" t="s">
        <v>81</v>
      </c>
      <c r="B54" s="50" t="s">
        <v>80</v>
      </c>
      <c r="C54" s="27"/>
      <c r="D54" s="13"/>
      <c r="E54" s="24">
        <f>'Qh-JUN'!E27-E50*('Qh-JUN'!E37+'Qh-JUN'!E41)</f>
        <v>3.8748682072764495E-5</v>
      </c>
      <c r="F54" s="8" t="s">
        <v>400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124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164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0"/>
    </row>
    <row r="61" spans="1:6" ht="18" x14ac:dyDescent="0.35">
      <c r="A61" s="93" t="s">
        <v>104</v>
      </c>
      <c r="B61" s="118"/>
      <c r="C61" s="119"/>
      <c r="D61" s="119"/>
      <c r="E61" s="120"/>
      <c r="F61" s="8"/>
    </row>
    <row r="62" spans="1:6" ht="21" x14ac:dyDescent="0.45">
      <c r="A62" s="22" t="s">
        <v>165</v>
      </c>
      <c r="B62" s="32" t="s">
        <v>166</v>
      </c>
      <c r="C62" s="99"/>
      <c r="D62" s="100"/>
      <c r="E62" s="24">
        <f>4*A!F47/0.13</f>
        <v>3728.022941538462</v>
      </c>
      <c r="F62" s="8" t="s">
        <v>402</v>
      </c>
    </row>
    <row r="63" spans="1:6" ht="21" x14ac:dyDescent="0.45">
      <c r="A63" s="22" t="s">
        <v>167</v>
      </c>
      <c r="B63" s="101" t="s">
        <v>200</v>
      </c>
      <c r="C63" s="99"/>
      <c r="D63" s="100"/>
      <c r="E63" s="56">
        <f>'HT+HV'!E57+'HT+HV'!E86</f>
        <v>84.443716139600014</v>
      </c>
      <c r="F63" s="8" t="s">
        <v>403</v>
      </c>
    </row>
    <row r="64" spans="1:6" ht="21" x14ac:dyDescent="0.45">
      <c r="A64" s="22" t="s">
        <v>168</v>
      </c>
      <c r="B64" s="26" t="s">
        <v>201</v>
      </c>
      <c r="C64" s="45"/>
      <c r="D64" s="100"/>
      <c r="E64" s="56">
        <f>'Qh-JUN'!E62*('HT+HV'!E78+'HT+HV'!E86-'Qh-JUN'!E63)/('Qh-JUN'!E62-('HT+HV'!E78+'HT+HV'!E86-'Qh-JUN'!E63))</f>
        <v>78.697677065776958</v>
      </c>
      <c r="F64" s="8" t="s">
        <v>404</v>
      </c>
    </row>
    <row r="65" spans="1:6" ht="19.8" x14ac:dyDescent="0.4">
      <c r="A65" s="98" t="s">
        <v>171</v>
      </c>
      <c r="B65" s="26" t="s">
        <v>202</v>
      </c>
      <c r="C65" s="99"/>
      <c r="D65" s="100"/>
      <c r="E65" s="56">
        <f>E62/(E62+E64)</f>
        <v>0.97932664753983656</v>
      </c>
      <c r="F65" s="8" t="s">
        <v>405</v>
      </c>
    </row>
    <row r="66" spans="1:6" ht="19.8" x14ac:dyDescent="0.4">
      <c r="A66" s="98" t="s">
        <v>173</v>
      </c>
      <c r="B66" s="26" t="s">
        <v>203</v>
      </c>
      <c r="C66" s="99"/>
      <c r="D66" s="100"/>
      <c r="E66" s="56">
        <f>E62/(E62+E63)</f>
        <v>0.97785063484567514</v>
      </c>
      <c r="F66" s="8" t="s">
        <v>406</v>
      </c>
    </row>
    <row r="67" spans="1:6" ht="21" x14ac:dyDescent="0.45">
      <c r="A67" s="98" t="s">
        <v>175</v>
      </c>
      <c r="B67" s="128" t="s">
        <v>204</v>
      </c>
      <c r="C67" s="99"/>
      <c r="D67" s="100"/>
      <c r="E67" s="84">
        <f>E65*18*A!F45/(E66*('HT+HV'!E78+'HT+HV'!E86))</f>
        <v>42.259867912546511</v>
      </c>
      <c r="F67" s="8" t="s">
        <v>407</v>
      </c>
    </row>
    <row r="68" spans="1:6" ht="21" x14ac:dyDescent="0.45">
      <c r="A68" s="98" t="s">
        <v>177</v>
      </c>
      <c r="B68" s="124" t="s">
        <v>205</v>
      </c>
      <c r="C68" s="99"/>
      <c r="D68" s="100"/>
      <c r="E68" s="127">
        <f>C3+E65*(19-C3)</f>
        <v>18.952451289341624</v>
      </c>
      <c r="F68" s="8" t="s">
        <v>408</v>
      </c>
    </row>
    <row r="69" spans="1:6" ht="21" x14ac:dyDescent="0.45">
      <c r="A69" s="98" t="s">
        <v>179</v>
      </c>
      <c r="B69" s="32" t="s">
        <v>206</v>
      </c>
      <c r="C69" s="99"/>
      <c r="D69" s="100"/>
      <c r="E69" s="84">
        <f>1.5*('HT+HV'!E78+0.34*0.5*0.76*A!F45)*31</f>
        <v>7282.9501227990022</v>
      </c>
      <c r="F69" s="8" t="s">
        <v>483</v>
      </c>
    </row>
    <row r="70" spans="1:6" ht="21" x14ac:dyDescent="0.45">
      <c r="A70" s="98" t="s">
        <v>181</v>
      </c>
      <c r="B70" s="124" t="s">
        <v>207</v>
      </c>
      <c r="C70" s="99"/>
      <c r="D70" s="100"/>
      <c r="E70" s="127">
        <f>C3+E69/('HT+HV'!E78+'HT+HV'!E86)</f>
        <v>61.791632330200585</v>
      </c>
      <c r="F70" s="8" t="s">
        <v>409</v>
      </c>
    </row>
    <row r="71" spans="1:6" ht="21" x14ac:dyDescent="0.45">
      <c r="A71" s="98" t="s">
        <v>183</v>
      </c>
      <c r="B71" s="124" t="s">
        <v>208</v>
      </c>
      <c r="C71" s="99"/>
      <c r="D71" s="100"/>
      <c r="E71" s="127">
        <f>C3+E65*(E70-C3)</f>
        <v>60.859437122034251</v>
      </c>
      <c r="F71" s="8" t="s">
        <v>411</v>
      </c>
    </row>
    <row r="72" spans="1:6" ht="21.6" x14ac:dyDescent="0.45">
      <c r="A72" s="98" t="s">
        <v>185</v>
      </c>
      <c r="B72" s="124" t="s">
        <v>209</v>
      </c>
      <c r="C72" s="99"/>
      <c r="D72" s="100"/>
      <c r="E72" s="127">
        <f>C3+E66*(E68-C3)*EXP(-7/E67)</f>
        <v>18.566339364640804</v>
      </c>
      <c r="F72" s="8" t="s">
        <v>484</v>
      </c>
    </row>
    <row r="73" spans="1:6" ht="21" x14ac:dyDescent="0.45">
      <c r="A73" s="98" t="s">
        <v>187</v>
      </c>
      <c r="B73" s="124" t="s">
        <v>210</v>
      </c>
      <c r="C73" s="99"/>
      <c r="D73" s="100"/>
      <c r="E73" s="127">
        <f>C3+(E72-C3)/E66</f>
        <v>18.608613952002344</v>
      </c>
      <c r="F73" s="8" t="s">
        <v>485</v>
      </c>
    </row>
    <row r="74" spans="1:6" ht="21" x14ac:dyDescent="0.45">
      <c r="A74" s="22" t="s">
        <v>189</v>
      </c>
      <c r="B74" s="128" t="s">
        <v>211</v>
      </c>
      <c r="C74" s="99"/>
      <c r="D74" s="100"/>
      <c r="E74" s="127">
        <f>IF(E67*LN((E66*(E71-E73))/(E70-19))&lt;0,0,E67*LN((E66*(E71-E73))/(E70-19)))</f>
        <v>0</v>
      </c>
      <c r="F74" s="8" t="s">
        <v>486</v>
      </c>
    </row>
    <row r="75" spans="1:6" ht="21" x14ac:dyDescent="0.45">
      <c r="A75" s="98" t="s">
        <v>191</v>
      </c>
      <c r="B75" s="128" t="s">
        <v>212</v>
      </c>
      <c r="C75" s="99"/>
      <c r="D75" s="100"/>
      <c r="E75" s="127">
        <f>IF(E74&gt;0,E71+(19-E70)/E66,E73)</f>
        <v>18.608613952002344</v>
      </c>
      <c r="F75" s="8" t="s">
        <v>487</v>
      </c>
    </row>
    <row r="76" spans="1:6" ht="21" x14ac:dyDescent="0.45">
      <c r="A76" s="98" t="s">
        <v>193</v>
      </c>
      <c r="B76" s="72"/>
      <c r="C76" s="11"/>
      <c r="D76" s="11"/>
      <c r="E76" s="84">
        <f>0.001*(('HT+HV'!E78+'HT+HV'!E86)*((19-C3)*7+(19-E70)*E74)-18*A!F45*E65*(E68-E75))*C4</f>
        <v>9.1642717089670178</v>
      </c>
      <c r="F76" s="8" t="s">
        <v>488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435</v>
      </c>
      <c r="F78" s="8"/>
    </row>
    <row r="79" spans="1:6" x14ac:dyDescent="0.25">
      <c r="A79" s="83"/>
      <c r="B79" s="83"/>
      <c r="C79" s="83"/>
      <c r="D79" s="83"/>
      <c r="E79" s="83"/>
      <c r="F79" s="173"/>
    </row>
    <row r="80" spans="1:6" ht="21" x14ac:dyDescent="0.45">
      <c r="A80" s="22" t="s">
        <v>82</v>
      </c>
      <c r="B80" s="72" t="s">
        <v>213</v>
      </c>
      <c r="C80" s="11"/>
      <c r="D80" s="11"/>
      <c r="E80" s="84">
        <f>0.024*('HT+HV'!E78+'HT+HV'!E86)*(19-C3)*C4-E76</f>
        <v>258.30365482421075</v>
      </c>
      <c r="F80" s="8" t="s">
        <v>489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173"/>
    </row>
    <row r="85" spans="1:6" ht="21" x14ac:dyDescent="0.45">
      <c r="B85" s="21" t="s">
        <v>74</v>
      </c>
      <c r="C85" s="3" t="s">
        <v>75</v>
      </c>
      <c r="D85" s="3" t="s">
        <v>76</v>
      </c>
      <c r="E85" s="3" t="s">
        <v>73</v>
      </c>
      <c r="F85" s="8"/>
    </row>
    <row r="86" spans="1:6" ht="17.399999999999999" x14ac:dyDescent="0.3">
      <c r="A86" s="48" t="s">
        <v>159</v>
      </c>
      <c r="B86" s="13">
        <v>83</v>
      </c>
      <c r="C86" s="77">
        <v>0.6</v>
      </c>
      <c r="D86" s="11">
        <f>A!F5</f>
        <v>8.5806000000000004</v>
      </c>
      <c r="E86" s="85">
        <f>0.024*B86*C86*D86*0.567*C4</f>
        <v>174.4466183712</v>
      </c>
      <c r="F86" s="8"/>
    </row>
    <row r="87" spans="1:6" ht="17.399999999999999" x14ac:dyDescent="0.3">
      <c r="A87" s="48" t="s">
        <v>160</v>
      </c>
      <c r="B87" s="13">
        <v>150</v>
      </c>
      <c r="C87" s="77">
        <v>0.6</v>
      </c>
      <c r="D87" s="11">
        <f>A!F7</f>
        <v>10.220599999999999</v>
      </c>
      <c r="E87" s="85">
        <f>0.024*B87*C87*D87*0.567*C4</f>
        <v>375.52119695999994</v>
      </c>
      <c r="F87" s="8"/>
    </row>
    <row r="88" spans="1:6" ht="17.399999999999999" x14ac:dyDescent="0.3">
      <c r="A88" s="48" t="s">
        <v>161</v>
      </c>
      <c r="B88" s="13">
        <v>136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162</v>
      </c>
      <c r="B89" s="13">
        <v>124</v>
      </c>
      <c r="C89" s="77">
        <v>0.6</v>
      </c>
      <c r="D89" s="11">
        <f>A!F8</f>
        <v>4.7628000000000004</v>
      </c>
      <c r="E89" s="86">
        <f>0.024*B89*C89*D89*0.567*C4</f>
        <v>144.6607911168</v>
      </c>
      <c r="F89" s="8"/>
    </row>
    <row r="90" spans="1:6" ht="21" x14ac:dyDescent="0.45">
      <c r="A90" s="22" t="s">
        <v>432</v>
      </c>
      <c r="B90" s="74" t="s">
        <v>433</v>
      </c>
      <c r="C90" s="4"/>
      <c r="D90" s="4"/>
      <c r="E90" s="84">
        <f>SUM(E86:E89)</f>
        <v>694.62860644800003</v>
      </c>
      <c r="F90" s="176" t="s">
        <v>412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173"/>
    </row>
    <row r="94" spans="1:6" ht="21" x14ac:dyDescent="0.45">
      <c r="A94" s="22" t="s">
        <v>78</v>
      </c>
      <c r="B94" s="74" t="s">
        <v>79</v>
      </c>
      <c r="C94" s="27"/>
      <c r="D94" s="33"/>
      <c r="E94" s="24">
        <f>0.024*5*A!F47*C4</f>
        <v>436.17868415999999</v>
      </c>
      <c r="F94" s="8" t="s">
        <v>490</v>
      </c>
    </row>
    <row r="95" spans="1:6" ht="19.8" x14ac:dyDescent="0.4">
      <c r="A95" s="34"/>
      <c r="B95" s="43" t="s">
        <v>77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103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0"/>
    </row>
    <row r="99" spans="1:6" ht="18" x14ac:dyDescent="0.35">
      <c r="A99" s="93" t="s">
        <v>104</v>
      </c>
      <c r="B99" s="43"/>
      <c r="C99" s="36"/>
      <c r="D99" s="35"/>
      <c r="F99" s="8"/>
    </row>
    <row r="100" spans="1:6" ht="21" x14ac:dyDescent="0.45">
      <c r="A100" s="98" t="s">
        <v>105</v>
      </c>
      <c r="B100" s="32" t="s">
        <v>216</v>
      </c>
      <c r="C100" s="99"/>
      <c r="D100" s="100"/>
      <c r="E100" s="84">
        <f>50*A!F45/('HT+HV'!E78+'HT+HV'!E86)</f>
        <v>117.21159740665651</v>
      </c>
      <c r="F100" s="8" t="s">
        <v>491</v>
      </c>
    </row>
    <row r="101" spans="1:6" ht="21" x14ac:dyDescent="0.45">
      <c r="A101" s="98" t="s">
        <v>106</v>
      </c>
      <c r="B101" s="101" t="s">
        <v>111</v>
      </c>
      <c r="C101" s="99"/>
      <c r="D101" s="100"/>
      <c r="E101" s="56">
        <f>(E94+E90)/(E80)</f>
        <v>4.3778214883470161</v>
      </c>
      <c r="F101" s="8" t="s">
        <v>492</v>
      </c>
    </row>
    <row r="102" spans="1:6" ht="21" x14ac:dyDescent="0.45">
      <c r="A102" s="22" t="s">
        <v>107</v>
      </c>
      <c r="B102" s="26" t="s">
        <v>156</v>
      </c>
      <c r="C102" s="45"/>
      <c r="D102" s="100"/>
      <c r="E102" s="56">
        <f>1+E100/16</f>
        <v>8.3257248379160309</v>
      </c>
      <c r="F102" s="8" t="s">
        <v>493</v>
      </c>
    </row>
    <row r="103" spans="1:6" ht="21.6" x14ac:dyDescent="0.45">
      <c r="A103" s="98" t="s">
        <v>109</v>
      </c>
      <c r="B103" s="101" t="s">
        <v>157</v>
      </c>
      <c r="C103" s="99"/>
      <c r="D103" s="100"/>
      <c r="E103" s="56">
        <f>(1-POWER(E101,E102))/(1-POWER(E101,E102+1))</f>
        <v>0.22842330762952057</v>
      </c>
      <c r="F103" s="8" t="s">
        <v>494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89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173"/>
    </row>
    <row r="107" spans="1:6" ht="21" x14ac:dyDescent="0.45">
      <c r="A107" s="22" t="s">
        <v>81</v>
      </c>
      <c r="B107" s="102" t="s">
        <v>112</v>
      </c>
      <c r="C107" s="27"/>
      <c r="D107" s="13"/>
      <c r="E107" s="84">
        <f>'Qh-JUN'!E80-E103*('Qh-JUN'!E90+'Qh-JUN'!E94)</f>
        <v>9.1321195486671058E-4</v>
      </c>
      <c r="F107" s="8" t="s">
        <v>400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17</vt:i4>
      </vt:variant>
    </vt:vector>
  </HeadingPairs>
  <TitlesOfParts>
    <vt:vector size="37" baseType="lpstr">
      <vt:lpstr>Aufgabe</vt:lpstr>
      <vt:lpstr>A</vt:lpstr>
      <vt:lpstr>HT+HV</vt:lpstr>
      <vt:lpstr>Qh-JAN</vt:lpstr>
      <vt:lpstr>Qh-FEB</vt:lpstr>
      <vt:lpstr>Qh-MAR</vt:lpstr>
      <vt:lpstr>Qh-APR</vt:lpstr>
      <vt:lpstr>Qh-MAI</vt:lpstr>
      <vt:lpstr>Qh-JUN</vt:lpstr>
      <vt:lpstr>Qh-JUL</vt:lpstr>
      <vt:lpstr>Qh-AUG</vt:lpstr>
      <vt:lpstr>Qh-SEP</vt:lpstr>
      <vt:lpstr>Qh-OKT</vt:lpstr>
      <vt:lpstr>Qh-NOV</vt:lpstr>
      <vt:lpstr>Qh-DEZ</vt:lpstr>
      <vt:lpstr>Qh-SUM</vt:lpstr>
      <vt:lpstr>AnlTechnik</vt:lpstr>
      <vt:lpstr>TabVerfTW</vt:lpstr>
      <vt:lpstr>TabVerfHeiz</vt:lpstr>
      <vt:lpstr>Anlagenbew</vt:lpstr>
      <vt:lpstr>A!Druckbereich</vt:lpstr>
      <vt:lpstr>Anlagenbew!Druckbereich</vt:lpstr>
      <vt:lpstr>Aufgabe!Druckbereich</vt:lpstr>
      <vt:lpstr>'Qh-APR'!Druckbereich</vt:lpstr>
      <vt:lpstr>'Qh-AUG'!Druckbereich</vt:lpstr>
      <vt:lpstr>'Qh-DEZ'!Druckbereich</vt:lpstr>
      <vt:lpstr>'Qh-FEB'!Druckbereich</vt:lpstr>
      <vt:lpstr>'Qh-JAN'!Druckbereich</vt:lpstr>
      <vt:lpstr>'Qh-JUL'!Druckbereich</vt:lpstr>
      <vt:lpstr>'Qh-JUN'!Druckbereich</vt:lpstr>
      <vt:lpstr>'Qh-MAI'!Druckbereich</vt:lpstr>
      <vt:lpstr>'Qh-MAR'!Druckbereich</vt:lpstr>
      <vt:lpstr>'Qh-NOV'!Druckbereich</vt:lpstr>
      <vt:lpstr>'Qh-OKT'!Druckbereich</vt:lpstr>
      <vt:lpstr>'Qh-SEP'!Druckbereich</vt:lpstr>
      <vt:lpstr>TabVerfHeiz!Druckbereich</vt:lpstr>
      <vt:lpstr>TabVerfTW!Druckbereich</vt:lpstr>
    </vt:vector>
  </TitlesOfParts>
  <Company>privat/FH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Marquardt</dc:creator>
  <cp:lastModifiedBy>Marquardt, Helmut</cp:lastModifiedBy>
  <cp:lastPrinted>2022-09-05T07:18:37Z</cp:lastPrinted>
  <dcterms:created xsi:type="dcterms:W3CDTF">2001-02-02T07:47:49Z</dcterms:created>
  <dcterms:modified xsi:type="dcterms:W3CDTF">2023-01-07T18:10:17Z</dcterms:modified>
</cp:coreProperties>
</file>